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TTYzkwoMwnAZx7CZ77BwmvgeLI4KLAVJlm2AGNfgsRBhebG/zzYyxxUHh38SjdxEmTabGyYEiP+tf4aSQwA7Uw==" workbookSaltValue="jzqUHxHXyye89XziwLkEn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AY20" i="20"/>
  <c r="AW13" i="11" l="1"/>
  <c r="EV19" i="19"/>
  <c r="EW19" i="19"/>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ES19" i="8"/>
  <c r="BH19" i="13"/>
  <c r="R8" i="9"/>
  <c r="BF11" i="11" s="1"/>
  <c r="EP19" i="8"/>
  <c r="ER19" i="13"/>
  <c r="AL13" i="16"/>
  <c r="AJ13" i="16"/>
  <c r="EP19" i="19"/>
  <c r="S13" i="16"/>
  <c r="P13" i="16"/>
  <c r="AM13" i="20"/>
  <c r="K18" i="2"/>
  <c r="M13" i="2"/>
  <c r="M18" i="2"/>
  <c r="N13" i="2"/>
  <c r="N18" i="2"/>
  <c r="T13" i="12"/>
  <c r="T13" i="16"/>
  <c r="T13" i="20"/>
  <c r="BF15" i="8"/>
  <c r="AU18" i="21"/>
  <c r="AH13" i="16"/>
  <c r="AP13" i="16"/>
  <c r="T18" i="17"/>
  <c r="BG15" i="13"/>
  <c r="BE16" i="13"/>
  <c r="BE15" i="13"/>
  <c r="AX20" i="20"/>
  <c r="B18" i="7" l="1"/>
  <c r="S19" i="8"/>
  <c r="I11" i="3"/>
  <c r="BG10" i="8"/>
  <c r="B9" i="6"/>
  <c r="H10" i="2"/>
  <c r="BJ16" i="11"/>
  <c r="AQ10" i="21"/>
  <c r="BW12" i="20"/>
  <c r="BK17" i="11"/>
  <c r="V9" i="16"/>
  <c r="U9" i="17"/>
  <c r="U19" i="17" s="1"/>
  <c r="BF9" i="8"/>
  <c r="BM17" i="11"/>
  <c r="BG12" i="11"/>
  <c r="BW10" i="20"/>
  <c r="BU11" i="17"/>
  <c r="BD11" i="13"/>
  <c r="AB13" i="21"/>
  <c r="AL16" i="11"/>
  <c r="C16" i="6"/>
  <c r="BE9" i="13"/>
  <c r="L16" i="2"/>
  <c r="BH16" i="11"/>
  <c r="BH10" i="16"/>
  <c r="BH10" i="11"/>
  <c r="AZ12" i="11"/>
  <c r="BU16" i="17"/>
  <c r="BW11" i="20"/>
  <c r="BU10" i="17"/>
  <c r="AP17" i="20"/>
  <c r="BG15" i="11"/>
  <c r="BJ12" i="11"/>
  <c r="BI15" i="11"/>
  <c r="BM12" i="11"/>
  <c r="V11" i="11"/>
  <c r="BF10" i="11"/>
  <c r="BL17" i="11"/>
  <c r="BM16" i="11"/>
  <c r="BH17" i="16"/>
  <c r="BH11" i="16"/>
  <c r="T9" i="11"/>
  <c r="L9" i="2"/>
  <c r="X10" i="21"/>
  <c r="L15" i="2"/>
  <c r="L10" i="2"/>
  <c r="BL16" i="11"/>
  <c r="AQ12" i="21"/>
  <c r="BF15" i="11"/>
  <c r="Q15" i="17"/>
  <c r="S10" i="17"/>
  <c r="BI9" i="11"/>
  <c r="Q17" i="17"/>
  <c r="T16" i="11"/>
  <c r="AA17" i="16"/>
  <c r="BV9" i="16"/>
  <c r="V12" i="16"/>
  <c r="U10" i="17"/>
  <c r="BV11" i="16"/>
  <c r="BV12" i="16"/>
  <c r="BV17" i="16"/>
  <c r="AZ15" i="11"/>
  <c r="AZ18" i="11" s="1"/>
  <c r="AZ9" i="11"/>
  <c r="R17" i="20"/>
  <c r="R18" i="20" s="1"/>
  <c r="AP15" i="20"/>
  <c r="BJ15" i="11"/>
  <c r="BH9" i="11"/>
  <c r="AP10" i="21"/>
  <c r="BK11" i="11"/>
  <c r="X11" i="17"/>
  <c r="BK9" i="11"/>
  <c r="BK12" i="11"/>
  <c r="P17" i="17"/>
  <c r="BG10" i="11"/>
  <c r="BL9" i="11"/>
  <c r="X12" i="21"/>
  <c r="AP16" i="20"/>
  <c r="BH9" i="16"/>
  <c r="V15" i="11"/>
  <c r="BJ17" i="11"/>
  <c r="BH15" i="11"/>
  <c r="BH15" i="16"/>
  <c r="Q17" i="20"/>
  <c r="Q18" i="20" s="1"/>
  <c r="V11" i="16"/>
  <c r="BF17" i="11"/>
  <c r="BF16" i="11"/>
  <c r="S17" i="16"/>
  <c r="BL12" i="11"/>
  <c r="V12" i="21"/>
  <c r="V17" i="16"/>
  <c r="BK15" i="11"/>
  <c r="S9" i="17"/>
  <c r="AZ17" i="11"/>
  <c r="BI10" i="11"/>
  <c r="Q10" i="21"/>
  <c r="V9" i="11"/>
  <c r="BJ11" i="11"/>
  <c r="R10" i="21"/>
  <c r="R13" i="21" s="1"/>
  <c r="R19" i="21" s="1"/>
  <c r="BI17" i="11"/>
  <c r="BG9" i="11"/>
  <c r="BL11" i="11"/>
  <c r="BH17" i="11"/>
  <c r="BM15" i="11"/>
  <c r="T17" i="16"/>
  <c r="T15" i="16"/>
  <c r="BU15" i="17"/>
  <c r="BW9" i="20"/>
  <c r="BW17" i="20"/>
  <c r="BV16" i="16"/>
  <c r="BW16" i="20"/>
  <c r="BV15" i="16"/>
  <c r="BW15" i="20"/>
  <c r="BU9" i="17"/>
  <c r="BV10" i="16"/>
  <c r="BU17" i="17"/>
  <c r="S11" i="17"/>
  <c r="BU12" i="17"/>
  <c r="AZ16" i="11"/>
  <c r="AZ11" i="11"/>
  <c r="X17" i="17"/>
  <c r="S15" i="16"/>
  <c r="P15" i="17"/>
  <c r="BF12" i="11"/>
  <c r="BL15" i="11"/>
  <c r="BL10" i="11"/>
  <c r="BJ10" i="11"/>
  <c r="BK16" i="11"/>
  <c r="BH11" i="11"/>
  <c r="BG16" i="11"/>
  <c r="S17" i="17"/>
  <c r="BM9" i="11"/>
  <c r="BH12" i="16"/>
  <c r="BK10" i="11"/>
  <c r="S15" i="17"/>
  <c r="S16" i="17"/>
  <c r="L12" i="2"/>
  <c r="L17" i="2"/>
  <c r="X15" i="16"/>
  <c r="X18" i="16" s="1"/>
  <c r="V10" i="16"/>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Q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O16" i="11"/>
  <c r="H20" i="20"/>
  <c r="Z20" i="20"/>
  <c r="J18" i="2" l="1"/>
  <c r="P18" i="17"/>
  <c r="P19" i="17" s="1"/>
  <c r="I11" i="12"/>
  <c r="AZ13" i="11"/>
  <c r="AZ1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U17" i="11"/>
  <c r="T20" i="20"/>
  <c r="AV20" i="21"/>
  <c r="AI19" i="11" l="1"/>
  <c r="P12" i="11"/>
  <c r="AL13" i="11"/>
  <c r="B13" i="6"/>
  <c r="BK1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O20" i="16"/>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L20" i="21"/>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F21" i="11"/>
  <c r="BM19" i="11"/>
  <c r="BG19" i="11"/>
  <c r="G19" i="3"/>
  <c r="BV21" i="16"/>
  <c r="BV19" i="16"/>
  <c r="Q13" i="11"/>
  <c r="BG19" i="8"/>
  <c r="H19" i="2"/>
  <c r="I19" i="3"/>
  <c r="J19" i="2"/>
  <c r="S19" i="17"/>
  <c r="F19" i="11"/>
  <c r="AQ19" i="11" s="1"/>
  <c r="AQ13" i="11"/>
  <c r="AQ21" i="11" s="1"/>
  <c r="F19" i="17"/>
  <c r="F21" i="16"/>
  <c r="E19" i="6"/>
  <c r="C19" i="6"/>
  <c r="AO19" i="11"/>
  <c r="AM19" i="11"/>
  <c r="B19" i="6"/>
  <c r="AL19" i="11"/>
  <c r="BL18" i="16"/>
  <c r="F19" i="16"/>
  <c r="E21" i="21"/>
  <c r="E19" i="21"/>
  <c r="AW21" i="20"/>
  <c r="AS21" i="20"/>
  <c r="AR21" i="20" s="1"/>
  <c r="AV21" i="11"/>
  <c r="C19" i="14"/>
  <c r="BF19" i="8"/>
  <c r="AQ19" i="17"/>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<sst xmlns="http://schemas.openxmlformats.org/spreadsheetml/2006/main" count="2102" uniqueCount="918">
  <si>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</si>
  <si>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</si>
  <si>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</si>
  <si>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</si>
  <si>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</si>
  <si>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</si>
  <si>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</si>
  <si>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</si>
  <si>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</si>
  <si>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</si>
  <si>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</si>
  <si>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</si>
  <si>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</si>
  <si>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</si>
  <si>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</si>
  <si>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</si>
  <si>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</si>
  <si>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</si>
  <si>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</si>
  <si>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</si>
  <si>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</si>
  <si>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</si>
  <si>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</si>
  <si>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</si>
  <si>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</si>
  <si>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</si>
  <si>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</si>
  <si>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</si>
  <si>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</si>
  <si>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</si>
  <si>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</si>
  <si>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</si>
  <si>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</si>
  <si>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</si>
  <si>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</si>
  <si>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</si>
  <si>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</si>
  <si>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</si>
  <si>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</si>
  <si>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</si>
  <si>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</si>
  <si>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</si>
  <si>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</si>
  <si>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</si>
  <si>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</si>
  <si>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</si>
  <si>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</si>
  <si>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</si>
  <si>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</si>
  <si>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</si>
  <si>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</si>
  <si>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</si>
  <si>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</si>
  <si>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</si>
  <si>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</si>
  <si>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</si>
  <si>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</si>
  <si>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</si>
  <si>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</si>
  <si>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</si>
  <si>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</si>
  <si>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</si>
  <si>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</si>
  <si>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</si>
  <si>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</si>
  <si>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</si>
  <si>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</si>
  <si>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</si>
  <si>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</si>
  <si>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</si>
  <si>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</si>
  <si>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</si>
  <si>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</si>
  <si>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</si>
  <si>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</si>
  <si>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</si>
  <si>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</si>
  <si>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</si>
  <si>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</si>
  <si>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</si>
  <si>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</si>
  <si>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</si>
  <si>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</si>
  <si>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</si>
  <si>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</si>
  <si>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</si>
  <si>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</si>
  <si>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</si>
  <si>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</si>
  <si>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</si>
  <si>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</si>
  <si>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</si>
  <si>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</si>
  <si>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</si>
  <si>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</si>
  <si>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</si>
  <si>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</si>
  <si>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</si>
  <si>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</si>
  <si>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</si>
  <si>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</si>
  <si>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</si>
  <si>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</si>
  <si>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</si>
  <si>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</si>
  <si>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</si>
  <si>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</si>
  <si>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</si>
  <si>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</si>
  <si>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</si>
  <si>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</si>
  <si>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</si>
  <si>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</si>
  <si>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</si>
  <si>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</si>
  <si>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</si>
  <si>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</si>
  <si>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</si>
  <si>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</si>
  <si>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</si>
  <si>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</si>
  <si>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</si>
  <si>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</si>
  <si>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</si>
  <si>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</si>
  <si>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</si>
  <si>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</si>
  <si>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</si>
  <si>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</si>
  <si>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</si>
  <si>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</si>
  <si>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</si>
  <si>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</si>
  <si>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</si>
  <si>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</si>
  <si>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</si>
  <si>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</si>
  <si>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</si>
  <si>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</si>
  <si>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</si>
  <si>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</si>
  <si>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</si>
  <si>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</si>
  <si>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</si>
  <si>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</si>
  <si>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</si>
  <si>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</si>
  <si>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</si>
  <si>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</si>
  <si>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</si>
  <si>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</si>
  <si>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</si>
  <si>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</si>
  <si>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</si>
  <si>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</si>
  <si>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</si>
  <si>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</si>
  <si>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</si>
  <si>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</si>
  <si>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</si>
  <si>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</si>
  <si>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</si>
  <si>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</si>
  <si>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</si>
  <si>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</si>
  <si>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</si>
  <si>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</si>
  <si>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</si>
  <si>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</si>
  <si>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</si>
  <si>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</si>
  <si>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</si>
  <si>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</si>
  <si>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</si>
  <si>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</si>
  <si>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</si>
  <si>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</si>
  <si>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</si>
  <si>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</si>
  <si>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</si>
  <si>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</si>
  <si>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</si>
  <si>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</si>
  <si>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</si>
  <si>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</si>
  <si>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</si>
  <si>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</si>
  <si>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</si>
  <si>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</si>
  <si>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</si>
  <si>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</si>
  <si>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</si>
  <si>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</si>
  <si>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</si>
  <si>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</si>
  <si>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</si>
  <si>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</si>
  <si>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</si>
  <si>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</si>
  <si>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</si>
  <si>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</si>
  <si>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</si>
  <si>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</si>
  <si>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</si>
  <si>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</si>
  <si>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</si>
  <si>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</si>
  <si>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</si>
  <si>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</si>
  <si>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</si>
  <si>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</si>
  <si>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</si>
  <si>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</si>
  <si>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</si>
  <si>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</si>
  <si>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</si>
  <si>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</si>
  <si>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</si>
  <si>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</si>
  <si>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</si>
  <si>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</si>
  <si>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</si>
  <si>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</si>
  <si>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</si>
  <si>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</si>
  <si>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</si>
  <si>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</si>
  <si>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</si>
  <si>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</si>
  <si>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</si>
  <si>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</si>
  <si>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</si>
  <si>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</si>
  <si>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</si>
  <si>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</si>
  <si>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</si>
  <si>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</si>
  <si>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</si>
  <si>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</si>
  <si>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</si>
  <si>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</si>
  <si>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</si>
  <si>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</si>
  <si>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</si>
  <si>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</si>
  <si>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</si>
  <si>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</si>
  <si>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</si>
  <si>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</si>
  <si>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</si>
  <si>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</si>
  <si>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</si>
  <si>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</si>
  <si>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</si>
  <si>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</si>
  <si>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</si>
  <si>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</si>
  <si>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</si>
  <si>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</si>
  <si>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</si>
  <si>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</si>
  <si>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</si>
  <si>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</si>
  <si>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</si>
  <si>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</si>
  <si>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</si>
  <si>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</si>
  <si>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</si>
  <si>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</si>
  <si>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</si>
  <si>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</si>
  <si>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</si>
  <si>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</si>
  <si>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</si>
  <si>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</si>
  <si>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</si>
  <si>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</si>
  <si>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</si>
  <si>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</si>
  <si>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</si>
  <si>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</si>
  <si>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</si>
  <si>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</si>
  <si>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</si>
  <si>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</si>
  <si>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</si>
  <si>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</si>
  <si>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</si>
  <si>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</si>
  <si>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</si>
  <si>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</si>
  <si>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</si>
  <si>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</si>
  <si>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</si>
  <si>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</si>
  <si>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</si>
  <si>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</si>
  <si>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</si>
  <si>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</si>
  <si>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</si>
  <si>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</si>
  <si>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</si>
  <si>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</si>
  <si>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</si>
  <si>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</si>
  <si>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</si>
  <si>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</si>
  <si>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</si>
  <si>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</si>
  <si>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</si>
  <si>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</si>
  <si>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</si>
  <si>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</si>
  <si>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</si>
  <si>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</si>
  <si>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</si>
  <si>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</si>
  <si>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</si>
  <si>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</si>
  <si>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</si>
  <si>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</si>
  <si>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</si>
  <si>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</si>
  <si>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</si>
  <si>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</si>
  <si>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</si>
  <si>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</si>
  <si>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</si>
  <si>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</si>
  <si>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</si>
  <si>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</si>
  <si>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</si>
  <si>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</si>
  <si>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</si>
  <si>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</si>
  <si>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</si>
  <si>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</si>
  <si>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</si>
  <si>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</si>
  <si>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</si>
  <si>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</si>
  <si>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</si>
  <si>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</si>
  <si>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</si>
  <si>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</si>
  <si>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</si>
  <si>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</si>
  <si>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</si>
  <si>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</si>
  <si>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</si>
  <si>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</si>
  <si>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</si>
  <si>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</si>
  <si>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</si>
  <si>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</si>
  <si>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</si>
  <si>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</si>
  <si>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</si>
  <si>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</si>
  <si>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</si>
  <si>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</si>
  <si>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</si>
  <si>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</si>
  <si>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</si>
  <si>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</si>
  <si>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</si>
  <si>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</si>
  <si>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</si>
  <si>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</si>
  <si>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</si>
  <si>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</si>
  <si>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</si>
  <si>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</si>
  <si>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</si>
  <si>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</si>
  <si>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</si>
  <si>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</si>
  <si>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</si>
  <si>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</si>
  <si>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</si>
  <si>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</si>
  <si>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</si>
  <si>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</si>
  <si>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</si>
  <si>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</si>
  <si>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</si>
  <si>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</si>
  <si>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</si>
  <si>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</si>
  <si>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</si>
  <si>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</si>
  <si>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</si>
  <si>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</si>
  <si>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</si>
  <si>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</si>
  <si>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</si>
  <si>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</si>
  <si>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</si>
  <si>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</si>
  <si>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</si>
  <si>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</si>
  <si>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</si>
  <si>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</si>
  <si>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</si>
  <si>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</si>
  <si>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</si>
  <si>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</si>
  <si>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</si>
  <si>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</si>
  <si>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</si>
  <si>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</si>
  <si>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</si>
  <si>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</si>
  <si>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</si>
  <si>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</si>
  <si>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</si>
  <si>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</si>
  <si>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</si>
  <si>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</si>
  <si>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</si>
  <si>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</si>
  <si>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</si>
  <si>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</si>
  <si>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</si>
  <si>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</si>
  <si>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</si>
  <si>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</si>
  <si>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</si>
  <si>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</si>
  <si>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</si>
  <si>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</si>
  <si>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</si>
  <si>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</si>
  <si>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</si>
  <si>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</si>
  <si>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</si>
  <si>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</si>
  <si>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</si>
  <si>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</si>
  <si>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</si>
  <si>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</si>
  <si>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</si>
  <si>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</si>
  <si>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</si>
  <si>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</si>
  <si>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</si>
  <si>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</si>
  <si>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</si>
  <si>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</si>
  <si>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</si>
  <si>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</si>
  <si>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</si>
  <si>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</si>
  <si>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</si>
  <si>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</si>
  <si>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</si>
  <si>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</si>
  <si>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</si>
  <si>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</si>
  <si>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</si>
  <si>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</si>
  <si>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</si>
  <si>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</si>
  <si>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</si>
  <si>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</si>
  <si>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</si>
  <si>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</si>
  <si>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</si>
  <si>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</si>
  <si>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</si>
  <si>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</si>
  <si>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</si>
  <si>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</si>
  <si>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</si>
  <si>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</si>
  <si>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</si>
  <si>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</si>
  <si>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</si>
  <si>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</si>
  <si>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</si>
  <si>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</si>
  <si>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</si>
  <si>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</si>
  <si>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</si>
  <si>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</si>
  <si>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</si>
  <si>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</si>
  <si>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</si>
  <si>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</si>
  <si>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</si>
  <si>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</si>
  <si>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</si>
  <si>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</si>
  <si>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</si>
  <si>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</si>
  <si>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</si>
  <si>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</si>
  <si>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</si>
  <si>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</si>
  <si>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</si>
  <si>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</si>
  <si>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</si>
  <si>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</si>
  <si>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</si>
  <si>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</si>
  <si>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</si>
  <si>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</si>
  <si>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</si>
  <si>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</si>
  <si>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</si>
  <si>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</si>
  <si>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</si>
  <si>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</si>
  <si>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</si>
  <si>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</si>
  <si>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</si>
  <si>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</si>
  <si>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</si>
  <si>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</si>
  <si>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</si>
  <si>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</si>
  <si>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</si>
  <si>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</si>
  <si>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</si>
  <si>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</si>
  <si>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</si>
  <si>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</si>
  <si>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</si>
  <si>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</si>
  <si>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</si>
  <si>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</si>
  <si>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</si>
  <si>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</si>
  <si>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</si>
  <si>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</si>
  <si>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</si>
  <si>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</si>
  <si>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</si>
  <si>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</si>
  <si>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</si>
  <si>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</si>
  <si>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</si>
  <si>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</si>
  <si>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</si>
  <si>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</si>
  <si>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</si>
  <si>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</si>
  <si>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</si>
  <si>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</si>
  <si>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</si>
  <si>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</si>
  <si>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</si>
  <si>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</si>
  <si>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</si>
  <si>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</si>
  <si>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</si>
  <si>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</si>
  <si>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</si>
  <si>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</si>
  <si>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</si>
  <si>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</si>
  <si>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</si>
  <si>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</si>
  <si>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</si>
  <si>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</si>
  <si>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</si>
  <si>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</si>
  <si>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</si>
  <si>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</si>
  <si>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</si>
  <si>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</si>
  <si>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</si>
  <si>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</si>
  <si>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</si>
  <si>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</si>
  <si>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</si>
  <si>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</si>
  <si>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</si>
  <si>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</si>
  <si>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</si>
  <si>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</si>
  <si>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</si>
  <si>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</si>
  <si>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</si>
  <si>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</si>
  <si>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</si>
  <si>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</si>
  <si>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</si>
  <si>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</si>
  <si>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</si>
  <si>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</si>
  <si>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</si>
  <si>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</si>
  <si>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</si>
  <si>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</si>
  <si>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</si>
  <si>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</si>
  <si>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</si>
  <si>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</si>
  <si>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</si>
  <si>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</si>
  <si>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</si>
  <si>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</si>
  <si>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</si>
  <si>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</si>
  <si>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</si>
  <si>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</si>
  <si>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</si>
  <si>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</si>
  <si>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</si>
  <si>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</si>
  <si>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</si>
  <si>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</si>
  <si>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</si>
  <si>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</si>
  <si>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</si>
  <si>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</si>
  <si>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</si>
  <si>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</si>
  <si>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</si>
  <si>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</si>
  <si>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</si>
  <si>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</si>
  <si>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</si>
  <si>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</si>
  <si>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</si>
  <si>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</si>
  <si>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</si>
  <si>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</si>
  <si>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</si>
  <si>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</si>
  <si>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</si>
  <si>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</si>
  <si>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</si>
  <si>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</si>
  <si>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</si>
  <si>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</si>
  <si>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</si>
  <si>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</si>
  <si>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</si>
  <si>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</si>
  <si>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</si>
  <si>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</si>
  <si>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</si>
  <si>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</si>
  <si>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</si>
  <si>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</si>
  <si>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</si>
  <si>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</si>
  <si>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</si>
  <si>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</si>
  <si>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</si>
  <si>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</si>
  <si>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</si>
  <si>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</si>
  <si>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</si>
  <si>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</si>
  <si>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</si>
  <si>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</si>
  <si>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</si>
  <si>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</si>
  <si>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</si>
  <si>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</si>
  <si>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</si>
  <si>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</si>
  <si>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</si>
  <si>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</si>
  <si>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</si>
  <si>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</si>
  <si>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</si>
  <si>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</si>
  <si>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</si>
  <si>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</si>
  <si>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</si>
  <si>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</si>
  <si>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</si>
  <si>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</si>
  <si>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</si>
  <si>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</si>
  <si>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</si>
  <si>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</si>
  <si>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</si>
  <si>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</si>
  <si>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</si>
  <si>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</si>
  <si>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</si>
  <si>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</si>
  <si>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</si>
  <si>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</si>
  <si>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</si>
  <si>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</si>
  <si>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</si>
  <si>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</si>
  <si>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</si>
  <si>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</si>
  <si>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</si>
  <si>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</si>
  <si>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</si>
  <si>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</si>
  <si>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</si>
  <si>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</si>
  <si>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</si>
  <si>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</si>
  <si>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</si>
  <si>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</si>
  <si>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</si>
  <si>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</si>
  <si>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</si>
  <si>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</si>
  <si>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</si>
  <si>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</si>
  <si>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</si>
  <si>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</si>
  <si>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</si>
  <si>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</si>
  <si>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</si>
  <si>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</si>
  <si>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</si>
  <si>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</si>
  <si>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</si>
  <si>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</si>
  <si>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</si>
  <si>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</si>
  <si>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</si>
  <si>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</si>
  <si>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</si>
  <si>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</si>
  <si>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</si>
  <si>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</si>
  <si>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</si>
  <si>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</si>
  <si>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</si>
  <si>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</si>
  <si>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</si>
  <si>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</si>
  <si>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</si>
  <si>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</si>
  <si>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</si>
  <si>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</si>
  <si>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</si>
  <si>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</si>
  <si>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</si>
  <si>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</si>
  <si>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</si>
  <si>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</si>
  <si>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</si>
  <si>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</si>
  <si>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</si>
  <si>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</si>
  <si>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</si>
  <si>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</si>
  <si>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</si>
  <si>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</si>
  <si>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</si>
  <si>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</si>
  <si>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</si>
  <si>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</si>
  <si>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</si>
  <si>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</si>
  <si>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</si>
  <si>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</si>
  <si>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</si>
  <si>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</si>
  <si>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</si>
  <si>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</si>
  <si>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</si>
  <si>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</si>
  <si>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</si>
  <si>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</si>
  <si>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</si>
  <si>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</si>
  <si>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</si>
  <si>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</si>
  <si>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</si>
  <si>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</si>
  <si>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</si>
  <si>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</si>
  <si>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</si>
  <si>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</si>
  <si>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</si>
  <si>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</si>
  <si>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</si>
  <si>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</si>
  <si>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</si>
  <si>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</si>
  <si>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</si>
  <si>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</si>
  <si>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</si>
  <si>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</si>
  <si>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</si>
  <si>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</si>
  <si>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</si>
  <si>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</si>
  <si>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</si>
  <si>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</si>
  <si>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</si>
  <si>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</si>
  <si>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</si>
  <si>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</si>
  <si>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</si>
  <si>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</si>
  <si>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</si>
  <si>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</si>
  <si>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</si>
  <si>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</si>
  <si>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</si>
  <si>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</si>
  <si>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</si>
  <si>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</si>
  <si>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</si>
  <si>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</si>
  <si>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</si>
  <si>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</si>
  <si>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</si>
  <si>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</si>
  <si>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</si>
  <si>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</si>
  <si>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</si>
  <si>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</si>
  <si>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</si>
  <si>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</si>
  <si>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</si>
  <si>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</si>
  <si>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</si>
  <si>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</si>
  <si>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</si>
  <si>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</si>
  <si>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</si>
  <si>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</si>
  <si>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</si>
  <si>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</si>
  <si>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</si>
  <si>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</si>
  <si>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</si>
  <si>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</si>
  <si>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</si>
  <si>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</si>
  <si>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</si>
  <si>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</si>
  <si>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</si>
  <si>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</si>
  <si>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</si>
  <si>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</si>
  <si>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</si>
  <si>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</si>
  <si>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</si>
  <si>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</si>
  <si>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</si>
  <si>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</si>
  <si>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</si>
  <si>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</si>
  <si>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</si>
  <si>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</si>
  <si>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</si>
  <si>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</si>
  <si>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</si>
  <si>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</si>
  <si>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</si>
  <si>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</si>
  <si>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</si>
  <si>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</si>
  <si>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</si>
  <si>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</si>
  <si>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</si>
  <si>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</si>
  <si>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</si>
  <si>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</si>
  <si>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</si>
  <si>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</si>
  <si>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</si>
  <si>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</si>
  <si>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</si>
  <si>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</si>
  <si>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</si>
  <si>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</si>
  <si>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</si>
  <si>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</si>
  <si>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</si>
  <si>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</si>
  <si>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</si>
  <si>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</si>
  <si>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</si>
  <si>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</si>
  <si>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</si>
  <si>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</si>
  <si>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</si>
  <si>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</si>
  <si>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</si>
  <si>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</si>
  <si>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</si>
  <si>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</si>
  <si>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</si>
  <si>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</si>
  <si>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</si>
  <si>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</si>
  <si>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</si>
  <si>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</si>
  <si>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</si>
  <si>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</si>
  <si>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</si>
  <si>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</si>
  <si>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</si>
  <si>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</si>
  <si>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</si>
  <si>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</si>
  <si>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</si>
  <si>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</si>
  <si>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</si>
  <si>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</si>
  <si>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</si>
  <si>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</si>
  <si>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</si>
  <si>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</si>
  <si>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ANDALUCIA</t>
  </si>
  <si>
    <t>Provincias</t>
  </si>
  <si>
    <t>CORDOBA</t>
  </si>
  <si>
    <t>Resumenes por Partidos Judiciales</t>
  </si>
  <si>
    <t>PUENTE GENIL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</si>
</sst>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Qic6PB2zOccNsPuHKdwK/gJRn/H285xcuClUvIJZczHYgnX73hX9nwkkPkGkUoWJvW0TAOojzHHcb5PTZilasA==" saltValue="i3ccos7SCJz1k45RYimP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v>
      </c>
      <c r="D10" s="225">
        <f>IF(ISNUMBER(Datos!I10),Datos!I10," - ")</f>
        <v>4</v>
      </c>
      <c r="E10" s="226">
        <f>IF(ISNUMBER(Datos!J10),Datos!J10," - ")</f>
        <v>2</v>
      </c>
      <c r="F10" s="226">
        <f>IF(ISNUMBER(Datos!K10),Datos!K10," - ")</f>
        <v>3</v>
      </c>
      <c r="G10" s="1034" t="str">
        <f>IF(Datos!E10&lt;&gt;"",Datos!E10,Datos!D10)</f>
        <v>37</v>
      </c>
      <c r="H10" s="227">
        <f>IF(ISNUMBER(Datos!L10),Datos!L10," - ")</f>
        <v>3</v>
      </c>
      <c r="I10" s="1044" t="str">
        <f>IF(ISNUMBER(Datos!AS10/Datos!BM10),Datos!AS10/Datos!BM10," - ")</f>
        <v xml:space="preserve"> - </v>
      </c>
      <c r="J10" s="1045">
        <f>IF(ISNUMBER(Datos!BY10/Datos!CN10),Datos!BY10/Datos!CN10," - ")</f>
        <v>0</v>
      </c>
      <c r="K10" s="230">
        <f t="shared" ref="K10:K12" si="1">IF(ISNUMBER((E10-F10)/C10),(E10-F10)/C10," - ")</f>
        <v>-0.25</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23.482695810564664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v>
      </c>
      <c r="D13" s="1049">
        <f>SUBTOTAL(9,D9:D12)</f>
        <v>4</v>
      </c>
      <c r="E13" s="1050">
        <f>SUBTOTAL(9,E9:E12)</f>
        <v>2</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247</v>
      </c>
      <c r="D16" s="225">
        <f>IF(ISNUMBER(IF(D_I="SI",Datos!I16,Datos!I16+Datos!AC16)),IF(D_I="SI",Datos!I16,Datos!I16+Datos!AC16)," - ")</f>
        <v>292</v>
      </c>
      <c r="E16" s="226">
        <f>IF(ISNUMBER(IF(D_I="SI",Datos!J16,Datos!J16+Datos!AD16)),IF(D_I="SI",Datos!J16,Datos!J16+Datos!AD16)," - ")</f>
        <v>508</v>
      </c>
      <c r="F16" s="226">
        <f>IF(ISNUMBER(IF(D_I="SI",Datos!K16,Datos!K16+Datos!AE16)),IF(D_I="SI",Datos!K16,Datos!K16+Datos!AE16)," - ")</f>
        <v>471</v>
      </c>
      <c r="G16" s="1034" t="str">
        <f>IF(Datos!E16&lt;&gt;"",Datos!E16,Datos!D16)</f>
        <v>04</v>
      </c>
      <c r="H16" s="227">
        <f>IF(ISNUMBER(IF(D_I="SI",Datos!L16,Datos!L16+Datos!AF16)),IF(D_I="SI",Datos!L16,Datos!L16+Datos!AF16)," - ")</f>
        <v>284</v>
      </c>
      <c r="I16" s="1044" t="str">
        <f>IF(ISNUMBER(Datos!AS16/Datos!BM16),Datos!AS16/Datos!BM16," - ")</f>
        <v xml:space="preserve"> - </v>
      </c>
      <c r="J16" s="1045">
        <f>IF(ISNUMBER(Datos!BY16/Datos!CN16),Datos!BY16/Datos!CN16," - ")</f>
        <v>0</v>
      </c>
      <c r="K16" s="230">
        <f t="shared" si="3"/>
        <v>0.14979757085020243</v>
      </c>
      <c r="L16" s="1025">
        <f>IF(ISNUMBER(NºAsuntos!I16/NºAsuntos!G16),(NºAsuntos!I16/NºAsuntos!G16)*11," - ")</f>
        <v>6.6326963906581735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14</v>
      </c>
      <c r="D17" s="225">
        <f>IF(ISNUMBER(IF(D_I="SI",Datos!I17,Datos!I17+Datos!AC17)),IF(D_I="SI",Datos!I17,Datos!I17+Datos!AC17)," - ")</f>
        <v>14</v>
      </c>
      <c r="E17" s="226">
        <f>IF(ISNUMBER(IF(D_I="SI",Datos!J17,Datos!J17+Datos!AD17)),IF(D_I="SI",Datos!J17,Datos!J17+Datos!AD17)," - ")</f>
        <v>34</v>
      </c>
      <c r="F17" s="226">
        <f>IF(ISNUMBER(IF(D_I="SI",Datos!K17,Datos!K17+Datos!AE17)),IF(D_I="SI",Datos!K17,Datos!K17+Datos!AE17)," - ")</f>
        <v>30</v>
      </c>
      <c r="G17" s="1034" t="str">
        <f>IF(Datos!E17&lt;&gt;"",Datos!E17,Datos!D17)</f>
        <v>37</v>
      </c>
      <c r="H17" s="227">
        <f>IF(ISNUMBER(IF(D_I="SI",Datos!L17,Datos!L17+Datos!AF17)),IF(D_I="SI",Datos!L17,Datos!L17+Datos!AF17)," - ")</f>
        <v>18</v>
      </c>
      <c r="I17" s="1044" t="str">
        <f>IF(ISNUMBER(Datos!AS17/Datos!BM17),Datos!AS17/Datos!BM17," - ")</f>
        <v xml:space="preserve"> - </v>
      </c>
      <c r="J17" s="1045" t="str">
        <f>IF(ISNUMBER((Datos!BY17+Datos!BZ17)/Datos!CN17),(Datos!BY17+Datos!BZ17)/Datos!CN17," - ")</f>
        <v xml:space="preserve"> - </v>
      </c>
      <c r="K17" s="230">
        <f t="shared" si="3"/>
        <v>0.2857142857142857</v>
      </c>
      <c r="L17" s="1025">
        <f>IF(ISNUMBER(NºAsuntos!I17/NºAsuntos!G17),(NºAsuntos!I17/NºAsuntos!G17)*11," - ")</f>
        <v>6.6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261</v>
      </c>
      <c r="D18" s="1049">
        <f>SUBTOTAL(9,D15:D17)</f>
        <v>306</v>
      </c>
      <c r="E18" s="1050">
        <f>SUBTOTAL(9,E15:E17)</f>
        <v>542</v>
      </c>
      <c r="F18" s="1050">
        <f>SUBTOTAL(9,F15:F17)</f>
        <v>501</v>
      </c>
      <c r="G18" s="1052" t="str">
        <f ca="1">INDIRECT(CONCATENATE("G",ROW()-1))</f>
        <v>37</v>
      </c>
      <c r="H18" s="1053">
        <f ca="1">SUMIF(G$14:G17,G18,H$14:H17)</f>
        <v>18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265</v>
      </c>
      <c r="D19" s="1071">
        <f>SUBTOTAL(9,D9:D18)</f>
        <v>310</v>
      </c>
      <c r="E19" s="1072">
        <f>SUBTOTAL(9,E9:E18)</f>
        <v>544</v>
      </c>
      <c r="F19" s="1072">
        <f>SUBTOTAL(9,F9:F18)</f>
        <v>504</v>
      </c>
      <c r="G19" s="1073"/>
      <c r="H19" s="1074">
        <f ca="1">SUMIF(B9:B18,"TOTAL",H9:H18)</f>
        <v>18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0OyDmnTW/PxqemJiwlwNKlYcmuPpipKQ5CSskzTQ5dMnvQm8nzpKxNtYfWmZpJT5M4WmQ3c2HKfZdd8x0G2tEw==" saltValue="2qrk+QGkNgOCmlgPMNkfY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467wcSwLzuYzF1017wY8M1kWmqjGMU6SSRaEnC2BLzYxPL43Lgvq09BQkudapixpmzxSRCUsUecHxGC8KohzHw==" saltValue="IuPswUrl+SM4eDKGczje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v>
      </c>
      <c r="J10" s="181">
        <v>2</v>
      </c>
      <c r="K10" s="181">
        <v>3</v>
      </c>
      <c r="L10" s="181">
        <v>3</v>
      </c>
      <c r="M10" s="181">
        <v>3</v>
      </c>
      <c r="N10" s="181">
        <v>0</v>
      </c>
      <c r="O10" s="181">
        <v>0</v>
      </c>
      <c r="P10" s="181">
        <v>0</v>
      </c>
      <c r="Q10" s="181">
        <v>1</v>
      </c>
      <c r="R10" s="181">
        <v>8</v>
      </c>
      <c r="S10" s="181">
        <v>3</v>
      </c>
      <c r="T10" s="181">
        <v>1</v>
      </c>
      <c r="U10" s="181">
        <v>3</v>
      </c>
      <c r="V10" s="181">
        <v>1</v>
      </c>
      <c r="W10" s="181">
        <v>3</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v>
      </c>
      <c r="AZ10" s="129">
        <f t="shared" si="0"/>
        <v>1</v>
      </c>
      <c r="BA10" s="129">
        <f t="shared" si="0"/>
        <v>3</v>
      </c>
      <c r="BB10" s="129">
        <f t="shared" si="0"/>
        <v>1</v>
      </c>
      <c r="BC10" s="125">
        <f t="shared" si="0"/>
        <v>3</v>
      </c>
      <c r="BD10" s="126">
        <f>IF(ISNUMBER(BA10/AZ10),BA10/AZ10," - ")</f>
        <v>3</v>
      </c>
      <c r="BE10" s="127">
        <f>IF(ISNUMBER(BB10/BA10),BB10/BA10, " - ")</f>
        <v>0.33333333333333331</v>
      </c>
      <c r="BF10" s="127">
        <f>IF(ISNUMBER(BC10/BA10),BC10/BA10, " - ")</f>
        <v>1</v>
      </c>
      <c r="BG10" s="196">
        <f>IF(ISNUMBER((AY10+AZ10)/BA10),(AY10+AZ10)/BA10," - ")</f>
        <v>1.3333333333333333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1159</v>
      </c>
      <c r="J12" s="183">
        <v>495</v>
      </c>
      <c r="K12" s="183">
        <v>508</v>
      </c>
      <c r="L12" s="183">
        <v>1146</v>
      </c>
      <c r="M12" s="183">
        <v>120</v>
      </c>
      <c r="N12" s="183">
        <v>113</v>
      </c>
      <c r="O12" s="181">
        <v>226</v>
      </c>
      <c r="P12" s="183">
        <v>110</v>
      </c>
      <c r="Q12" s="183">
        <v>44</v>
      </c>
      <c r="R12" s="183">
        <v>1523</v>
      </c>
      <c r="S12" s="183">
        <v>1011</v>
      </c>
      <c r="T12" s="183">
        <v>346</v>
      </c>
      <c r="U12" s="183">
        <v>285</v>
      </c>
      <c r="V12" s="183">
        <v>1122</v>
      </c>
      <c r="W12" s="183">
        <v>67</v>
      </c>
      <c r="X12" s="189">
        <v>109</v>
      </c>
      <c r="Y12" s="191">
        <v>29</v>
      </c>
      <c r="Z12" s="181">
        <v>38</v>
      </c>
      <c r="AA12" s="181">
        <v>41</v>
      </c>
      <c r="AB12" s="181">
        <v>26</v>
      </c>
      <c r="AC12" s="183">
        <v>0</v>
      </c>
      <c r="AD12" s="183">
        <v>0</v>
      </c>
      <c r="AE12" s="183">
        <v>0</v>
      </c>
      <c r="AF12" s="189">
        <v>0</v>
      </c>
      <c r="AG12" s="202">
        <v>29</v>
      </c>
      <c r="AH12" s="183">
        <v>19</v>
      </c>
      <c r="AI12" s="183">
        <v>22</v>
      </c>
      <c r="AJ12" s="203">
        <v>26</v>
      </c>
      <c r="AK12" s="182">
        <v>0</v>
      </c>
      <c r="AL12" s="183">
        <v>0</v>
      </c>
      <c r="AM12" s="183">
        <v>0</v>
      </c>
      <c r="AN12" s="189">
        <v>0</v>
      </c>
      <c r="AO12" s="259">
        <v>2</v>
      </c>
      <c r="AP12" s="155">
        <v>2</v>
      </c>
      <c r="AQ12" s="155">
        <v>2</v>
      </c>
      <c r="AR12" s="154">
        <v>2</v>
      </c>
      <c r="AS12" s="340" t="s">
        <v>802</v>
      </c>
      <c r="AT12" s="203"/>
      <c r="AU12" s="202"/>
      <c r="AV12" s="203"/>
      <c r="AW12" s="202"/>
      <c r="AX12" s="203"/>
      <c r="AY12" s="126">
        <f t="shared" si="1"/>
        <v>1040</v>
      </c>
      <c r="AZ12" s="127">
        <f t="shared" si="1"/>
        <v>365</v>
      </c>
      <c r="BA12" s="127">
        <f t="shared" si="1"/>
        <v>307</v>
      </c>
      <c r="BB12" s="127">
        <f t="shared" si="1"/>
        <v>1148</v>
      </c>
      <c r="BC12" s="125">
        <f>IF(ISNUMBER(X12),X12," - ")</f>
        <v>109</v>
      </c>
      <c r="BD12" s="126">
        <f t="shared" si="2"/>
        <v>0.84109589041095889</v>
      </c>
      <c r="BE12" s="127">
        <f t="shared" si="3"/>
        <v>3.7394136807817588</v>
      </c>
      <c r="BF12" s="127">
        <f t="shared" si="4"/>
        <v>0.35504885993485341</v>
      </c>
      <c r="BG12" s="196">
        <f t="shared" si="5"/>
        <v>4.5765472312703581</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1163</v>
      </c>
      <c r="J13" s="184">
        <f t="shared" si="6"/>
        <v>497</v>
      </c>
      <c r="K13" s="184">
        <f t="shared" si="6"/>
        <v>511</v>
      </c>
      <c r="L13" s="184">
        <f t="shared" si="6"/>
        <v>1149</v>
      </c>
      <c r="M13" s="184">
        <f t="shared" si="6"/>
        <v>123</v>
      </c>
      <c r="N13" s="184">
        <f t="shared" si="6"/>
        <v>113</v>
      </c>
      <c r="O13" s="184">
        <f t="shared" si="6"/>
        <v>226</v>
      </c>
      <c r="P13" s="184">
        <f t="shared" si="6"/>
        <v>110</v>
      </c>
      <c r="Q13" s="184">
        <f t="shared" si="6"/>
        <v>45</v>
      </c>
      <c r="R13" s="184">
        <f t="shared" si="6"/>
        <v>1531</v>
      </c>
      <c r="S13" s="184">
        <f t="shared" si="6"/>
        <v>1014</v>
      </c>
      <c r="T13" s="184">
        <f t="shared" si="6"/>
        <v>347</v>
      </c>
      <c r="U13" s="184">
        <f t="shared" si="6"/>
        <v>288</v>
      </c>
      <c r="V13" s="184">
        <f t="shared" si="6"/>
        <v>1123</v>
      </c>
      <c r="W13" s="184">
        <f t="shared" si="6"/>
        <v>70</v>
      </c>
      <c r="X13" s="184">
        <f t="shared" si="6"/>
        <v>109</v>
      </c>
      <c r="Y13" s="184">
        <f t="shared" si="6"/>
        <v>29</v>
      </c>
      <c r="Z13" s="184">
        <f t="shared" si="6"/>
        <v>38</v>
      </c>
      <c r="AA13" s="184">
        <f t="shared" si="6"/>
        <v>41</v>
      </c>
      <c r="AB13" s="184">
        <f t="shared" si="6"/>
        <v>26</v>
      </c>
      <c r="AC13" s="184">
        <f t="shared" si="6"/>
        <v>0</v>
      </c>
      <c r="AD13" s="184">
        <f t="shared" si="6"/>
        <v>0</v>
      </c>
      <c r="AE13" s="184">
        <f t="shared" si="6"/>
        <v>0</v>
      </c>
      <c r="AF13" s="184">
        <f>SUBTOTAL(9,AF9:AF12)</f>
        <v>0</v>
      </c>
      <c r="AG13" s="184">
        <f t="shared" ref="AG13:AT13" si="7">SUBTOTAL(9,AG8:AG12)</f>
        <v>29</v>
      </c>
      <c r="AH13" s="184">
        <f t="shared" si="7"/>
        <v>19</v>
      </c>
      <c r="AI13" s="184">
        <f t="shared" si="7"/>
        <v>22</v>
      </c>
      <c r="AJ13" s="184">
        <f t="shared" si="7"/>
        <v>26</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1043</v>
      </c>
      <c r="AZ13" s="184">
        <f>SUBTOTAL(9,AZ8:AZ12)</f>
        <v>366</v>
      </c>
      <c r="BA13" s="184">
        <f>SUBTOTAL(9,BA8:BA12)</f>
        <v>310</v>
      </c>
      <c r="BB13" s="184">
        <f>SUBTOTAL(9,BB8:BB12)</f>
        <v>1149</v>
      </c>
      <c r="BC13" s="184">
        <f>SUBTOTAL(9,BC8:BC12)</f>
        <v>112</v>
      </c>
      <c r="BD13" s="205">
        <f>IF(ISNUMBER(BA13/AZ13),BA13/AZ13," - ")</f>
        <v>0.84699453551912574</v>
      </c>
      <c r="BE13" s="206">
        <f>IF(ISNUMBER(BB13/BA13),BB13/BA13, " - ")</f>
        <v>3.7064516129032259</v>
      </c>
      <c r="BF13" s="206">
        <f>IF(ISNUMBER(BC13/BA13),BC13/BA13, " - ")</f>
        <v>0.36129032258064514</v>
      </c>
      <c r="BG13" s="207">
        <f>IF(ISNUMBER((AY13+AZ13)/BA13),(AY13+AZ13)/BA13," - ")</f>
        <v>4.5451612903225804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292</v>
      </c>
      <c r="J16" s="183">
        <v>508</v>
      </c>
      <c r="K16" s="183">
        <v>471</v>
      </c>
      <c r="L16" s="183">
        <v>284</v>
      </c>
      <c r="M16" s="183">
        <v>52</v>
      </c>
      <c r="N16" s="183">
        <v>317</v>
      </c>
      <c r="O16" s="181">
        <v>0</v>
      </c>
      <c r="P16" s="183">
        <v>1</v>
      </c>
      <c r="Q16" s="183">
        <v>0</v>
      </c>
      <c r="R16" s="183">
        <v>31</v>
      </c>
      <c r="S16" s="183">
        <v>290</v>
      </c>
      <c r="T16" s="183">
        <v>524</v>
      </c>
      <c r="U16" s="183">
        <v>539</v>
      </c>
      <c r="V16" s="183">
        <v>283</v>
      </c>
      <c r="W16" s="183">
        <v>53</v>
      </c>
      <c r="X16" s="189">
        <v>370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290</v>
      </c>
      <c r="AZ16" s="127">
        <f t="shared" si="9"/>
        <v>524</v>
      </c>
      <c r="BA16" s="127">
        <f t="shared" si="9"/>
        <v>539</v>
      </c>
      <c r="BB16" s="127">
        <f t="shared" si="9"/>
        <v>283</v>
      </c>
      <c r="BC16" s="125">
        <f>IF(ISNUMBER(W16),W16," - ")</f>
        <v>53</v>
      </c>
      <c r="BD16" s="126">
        <f t="shared" ref="BD16" si="11">IF(ISNUMBER(BA16/AZ16),BA16/AZ16," - ")</f>
        <v>1.0286259541984732</v>
      </c>
      <c r="BE16" s="127">
        <f t="shared" ref="BE16" si="12">IF(ISNUMBER(BB16/BA16),BB16/BA16, " - ")</f>
        <v>0.52504638218923938</v>
      </c>
      <c r="BF16" s="127">
        <f t="shared" ref="BF16" si="13">IF(ISNUMBER(BC16/BA16),BC16/BA16, " - ")</f>
        <v>9.8330241187384038E-2</v>
      </c>
      <c r="BG16" s="196">
        <f t="shared" si="10"/>
        <v>1.510204081632653</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14</v>
      </c>
      <c r="J17" s="183">
        <v>34</v>
      </c>
      <c r="K17" s="183">
        <v>30</v>
      </c>
      <c r="L17" s="183">
        <v>18</v>
      </c>
      <c r="M17" s="183">
        <v>5</v>
      </c>
      <c r="N17" s="183">
        <v>19</v>
      </c>
      <c r="O17" s="183">
        <v>0</v>
      </c>
      <c r="P17" s="183">
        <v>2</v>
      </c>
      <c r="Q17" s="183">
        <v>0</v>
      </c>
      <c r="R17" s="183">
        <v>4</v>
      </c>
      <c r="S17" s="183">
        <v>25</v>
      </c>
      <c r="T17" s="183">
        <v>37</v>
      </c>
      <c r="U17" s="183">
        <v>37</v>
      </c>
      <c r="V17" s="183">
        <v>25</v>
      </c>
      <c r="W17" s="183">
        <v>2</v>
      </c>
      <c r="X17" s="189">
        <v>18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25</v>
      </c>
      <c r="AZ17" s="129">
        <f t="shared" si="14"/>
        <v>37</v>
      </c>
      <c r="BA17" s="129">
        <f t="shared" si="14"/>
        <v>37</v>
      </c>
      <c r="BB17" s="129">
        <f t="shared" si="14"/>
        <v>25</v>
      </c>
      <c r="BC17" s="125">
        <f>IF(ISNUMBER(W17),W17," - ")</f>
        <v>2</v>
      </c>
      <c r="BD17" s="126">
        <f>IF(ISNUMBER(BA17/AZ17),BA17/AZ17," - ")</f>
        <v>1</v>
      </c>
      <c r="BE17" s="127">
        <f>IF(ISNUMBER(BB17/BA17),BB17/BA17, " - ")</f>
        <v>0.67567567567567566</v>
      </c>
      <c r="BF17" s="127">
        <f>IF(ISNUMBER(BC17/BA17),BC17/BA17, " - ")</f>
        <v>5.4054054054054057E-2</v>
      </c>
      <c r="BG17" s="196">
        <f>IF(ISNUMBER((AY17+AZ17)/BA17),(AY17+AZ17)/BA17," - ")</f>
        <v>1.6756756756756757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306</v>
      </c>
      <c r="J18" s="184">
        <f t="shared" si="15"/>
        <v>542</v>
      </c>
      <c r="K18" s="184">
        <f t="shared" si="15"/>
        <v>501</v>
      </c>
      <c r="L18" s="184">
        <f t="shared" si="15"/>
        <v>302</v>
      </c>
      <c r="M18" s="184">
        <f t="shared" si="15"/>
        <v>57</v>
      </c>
      <c r="N18" s="184">
        <f t="shared" si="15"/>
        <v>336</v>
      </c>
      <c r="O18" s="184">
        <f t="shared" si="15"/>
        <v>0</v>
      </c>
      <c r="P18" s="184">
        <f t="shared" si="15"/>
        <v>3</v>
      </c>
      <c r="Q18" s="184">
        <f t="shared" si="15"/>
        <v>0</v>
      </c>
      <c r="R18" s="184">
        <f t="shared" si="15"/>
        <v>35</v>
      </c>
      <c r="S18" s="184">
        <f t="shared" si="15"/>
        <v>315</v>
      </c>
      <c r="T18" s="184">
        <f t="shared" si="15"/>
        <v>561</v>
      </c>
      <c r="U18" s="184">
        <f t="shared" si="15"/>
        <v>576</v>
      </c>
      <c r="V18" s="184">
        <f t="shared" si="15"/>
        <v>308</v>
      </c>
      <c r="W18" s="184">
        <f t="shared" si="15"/>
        <v>55</v>
      </c>
      <c r="X18" s="184">
        <f t="shared" si="15"/>
        <v>388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315</v>
      </c>
      <c r="AZ18" s="184">
        <f>SUBTOTAL(9,AZ14:AZ17)</f>
        <v>561</v>
      </c>
      <c r="BA18" s="184">
        <f>SUBTOTAL(9,BA14:BA17)</f>
        <v>576</v>
      </c>
      <c r="BB18" s="184">
        <f>SUBTOTAL(9,BB14:BB17)</f>
        <v>308</v>
      </c>
      <c r="BC18" s="184">
        <f>SUBTOTAL(9,BC14:BC17)</f>
        <v>55</v>
      </c>
      <c r="BD18" s="205">
        <f>IF(ISNUMBER(BA18/AZ18),BA18/AZ18," - ")</f>
        <v>1.0267379679144386</v>
      </c>
      <c r="BE18" s="206">
        <f>IF(ISNUMBER(BB18/BA18),BB18/BA18, " - ")</f>
        <v>0.53472222222222221</v>
      </c>
      <c r="BF18" s="206">
        <f>IF(ISNUMBER(BC18/BA18),BC18/BA18, " - ")</f>
        <v>9.5486111111111105E-2</v>
      </c>
      <c r="BG18" s="207">
        <f>IF(ISNUMBER((AY18+AZ18)/BA18),(AY18+AZ18)/BA18," - ")</f>
        <v>1.5208333333333333</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1469</v>
      </c>
      <c r="J19" s="134">
        <f t="shared" si="18"/>
        <v>1039</v>
      </c>
      <c r="K19" s="134">
        <f t="shared" si="18"/>
        <v>1012</v>
      </c>
      <c r="L19" s="134">
        <f t="shared" si="18"/>
        <v>1451</v>
      </c>
      <c r="M19" s="134">
        <f t="shared" si="18"/>
        <v>180</v>
      </c>
      <c r="N19" s="134">
        <f t="shared" si="18"/>
        <v>449</v>
      </c>
      <c r="O19" s="134">
        <f t="shared" si="18"/>
        <v>226</v>
      </c>
      <c r="P19" s="134">
        <f t="shared" si="18"/>
        <v>113</v>
      </c>
      <c r="Q19" s="134">
        <f t="shared" si="18"/>
        <v>45</v>
      </c>
      <c r="R19" s="134">
        <f t="shared" si="18"/>
        <v>1566</v>
      </c>
      <c r="S19" s="134">
        <f t="shared" si="18"/>
        <v>1329</v>
      </c>
      <c r="T19" s="134">
        <f t="shared" si="18"/>
        <v>908</v>
      </c>
      <c r="U19" s="134">
        <f t="shared" si="18"/>
        <v>864</v>
      </c>
      <c r="V19" s="134">
        <f t="shared" si="18"/>
        <v>1431</v>
      </c>
      <c r="W19" s="134">
        <f t="shared" si="18"/>
        <v>125</v>
      </c>
      <c r="X19" s="134">
        <f t="shared" si="18"/>
        <v>497</v>
      </c>
      <c r="Y19" s="134">
        <f t="shared" si="18"/>
        <v>29</v>
      </c>
      <c r="Z19" s="134">
        <f t="shared" si="18"/>
        <v>38</v>
      </c>
      <c r="AA19" s="134">
        <f t="shared" si="18"/>
        <v>41</v>
      </c>
      <c r="AB19" s="134">
        <f t="shared" si="18"/>
        <v>26</v>
      </c>
      <c r="AC19" s="134">
        <f t="shared" si="18"/>
        <v>0</v>
      </c>
      <c r="AD19" s="134">
        <f t="shared" si="18"/>
        <v>0</v>
      </c>
      <c r="AE19" s="134">
        <f t="shared" si="18"/>
        <v>0</v>
      </c>
      <c r="AF19" s="134">
        <f t="shared" si="18"/>
        <v>0</v>
      </c>
      <c r="AG19" s="134">
        <f t="shared" si="18"/>
        <v>29</v>
      </c>
      <c r="AH19" s="134">
        <f t="shared" si="18"/>
        <v>19</v>
      </c>
      <c r="AI19" s="134">
        <f t="shared" si="18"/>
        <v>22</v>
      </c>
      <c r="AJ19" s="134">
        <f t="shared" si="18"/>
        <v>26</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1358</v>
      </c>
      <c r="AZ19" s="134">
        <f>SUBTOTAL(9,AZ9:AZ18)</f>
        <v>927</v>
      </c>
      <c r="BA19" s="134">
        <f>SUBTOTAL(9,BA9:BA18)</f>
        <v>886</v>
      </c>
      <c r="BB19" s="134">
        <f>SUBTOTAL(9,BB9:BB18)</f>
        <v>1457</v>
      </c>
      <c r="BC19" s="135">
        <f>SUBTOTAL(9,BC9:BC18)</f>
        <v>167</v>
      </c>
      <c r="BD19" s="213">
        <f>IF(ISNUMBER(BA19/AZ19),BA19/AZ19," - ")</f>
        <v>0.9557713052858684</v>
      </c>
      <c r="BE19" s="210">
        <f>IF(ISNUMBER(BB19/BA19),BB19/BA19, " - ")</f>
        <v>1.644469525959368</v>
      </c>
      <c r="BF19" s="210">
        <f>IF(ISNUMBER(BC19/BA19),BC19/BA19, " - ")</f>
        <v>0.18848758465011287</v>
      </c>
      <c r="BG19" s="135">
        <f>IF(ISNUMBER((AY19+AZ19)/BA19),(AY19+AZ19)/BA19," - ")</f>
        <v>2.5790067720090293</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DqiAKy7THGoNAouInCS2alidpTPC+fUUEtAIkFkfH3REQOv3sHPRoi7jACE/ChW4Xkw2NxUL2SOY5CNC254Vw==" saltValue="+Z7RRGHpiOrn66J2rW9+O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62KWtAskN3KiG5ipCs2o6kuKcvdDnpiXlOrvF86lM9Yhbx2mAd/IVTaeUoSw9i5gntJOO8hfwIEbGJekp0tfw==" saltValue="rQzy8o8zOP6lwF/KrYzEU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PUENTE GENIL</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1</v>
      </c>
      <c r="AD10" s="334"/>
      <c r="AE10" s="484"/>
      <c r="AF10" s="332">
        <f>IF(ISNUMBER(Datos!L10),Datos!L10,"-")</f>
        <v>3</v>
      </c>
      <c r="AG10" s="334"/>
      <c r="AH10" s="334"/>
      <c r="AI10" s="334"/>
      <c r="AJ10" s="334"/>
      <c r="AK10" s="334"/>
      <c r="AL10" s="479"/>
      <c r="AM10" s="335">
        <f>IF(ISNUMBER(Datos!R10),Datos!R10," - ")</f>
        <v>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0</v>
      </c>
      <c r="BE10" s="229" t="str">
        <f>IF(ISNUMBER(Datos!BW10),Datos!BW10," - ")</f>
        <v xml:space="preserve"> - </v>
      </c>
      <c r="BF10" s="228" t="str">
        <f>IF(ISNUMBER(Datos!BX10),Datos!BX10," - ")</f>
        <v xml:space="preserve"> - </v>
      </c>
      <c r="BG10" s="243">
        <f>IF(ISNUMBER(Datos!K10/Datos!J10),Datos!K10/Datos!J10," - ")</f>
        <v>1.5</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-0.1111111111111111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38</v>
      </c>
      <c r="O12" s="334"/>
      <c r="P12" s="334"/>
      <c r="Q12" s="226">
        <f>IF(ISNUMBER(Datos!P12),Datos!P12,0)</f>
        <v>110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26</v>
      </c>
      <c r="AI12" s="334" t="str">
        <f>IF(ISNUMBER(Datos!CD12),Datos!CD12,"-")</f>
        <v>-</v>
      </c>
      <c r="AJ12" s="334" t="str">
        <f>IF(ISNUMBER(Datos!EN12),Datos!EN12," - ")</f>
        <v xml:space="preserve"> - </v>
      </c>
      <c r="AK12" s="334"/>
      <c r="AL12" s="479"/>
      <c r="AM12" s="335">
        <f>IF(ISNUMBER(Datos!R12),Datos!R12," - ")</f>
        <v>1523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120</v>
      </c>
      <c r="BD12" s="229">
        <f>IF(ISNUMBER(Datos!N12),Datos!N12," - ")</f>
        <v>113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1.0300187617260788</v>
      </c>
      <c r="BH12" s="260">
        <f>IF(ISNUMBER(((IF(J_V="SI",Datos!L12/Datos!K12,(Datos!L12+Datos!AB12)/(Datos!K12+Datos!AA12)))*11)/factor_trimestre),((IF(J_V="SI",Datos!L12/Datos!K12,(Datos!L12+Datos!AB12)/(Datos!K12+Datos!AA12)))*11)/factor_trimestre," - ")</f>
        <v>6.4043715846994544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4.5298558682223745E-2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38</v>
      </c>
      <c r="O13" s="900">
        <f t="shared" si="0"/>
        <v>0</v>
      </c>
      <c r="P13" s="900">
        <f t="shared" si="0"/>
        <v>0</v>
      </c>
      <c r="Q13" s="899">
        <f t="shared" si="0"/>
        <v>110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45</v>
      </c>
      <c r="AD13" s="899">
        <f t="shared" si="1"/>
        <v>0</v>
      </c>
      <c r="AE13" s="899">
        <f t="shared" si="1"/>
        <v>0</v>
      </c>
      <c r="AF13" s="899">
        <f t="shared" si="1"/>
        <v>3</v>
      </c>
      <c r="AG13" s="899">
        <f t="shared" si="1"/>
        <v>0</v>
      </c>
      <c r="AH13" s="899">
        <f t="shared" si="1"/>
        <v>26</v>
      </c>
      <c r="AI13" s="899">
        <f t="shared" si="1"/>
        <v>0</v>
      </c>
      <c r="AJ13" s="899">
        <f t="shared" si="1"/>
        <v>0</v>
      </c>
      <c r="AK13" s="899">
        <f t="shared" si="1"/>
        <v>0</v>
      </c>
      <c r="AL13" s="899">
        <f t="shared" si="1"/>
        <v>0</v>
      </c>
      <c r="AM13" s="899">
        <f t="shared" si="1"/>
        <v>1531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123</v>
      </c>
      <c r="BD13" s="899">
        <f t="shared" si="1"/>
        <v>113</v>
      </c>
      <c r="BE13" s="899">
        <f t="shared" si="1"/>
        <v>0</v>
      </c>
      <c r="BF13" s="899">
        <f t="shared" si="1"/>
        <v>0</v>
      </c>
      <c r="BG13" s="899">
        <f>IF(ISNUMBER(Datos!K13/Datos!J13),Datos!K13/Datos!J13," - ")</f>
        <v>1.028169014084507</v>
      </c>
      <c r="BH13" s="903">
        <f>IF(ISNUMBER(((Datos!L13/Datos!K13)*11)/factor_trimestre),((Datos!L13/Datos!K13)*11)/factor_trimestre," - ")</f>
        <v>6.7455968688845402</v>
      </c>
      <c r="BI13" s="899">
        <f>IF(ISNUMBER('Resol  Asuntos'!D13/NºAsuntos!G13),'Resol  Asuntos'!D13/NºAsuntos!G13," - ")</f>
        <v>0.22282608695652173</v>
      </c>
      <c r="BJ13" s="899" t="str">
        <f>IF(ISNUMBER(Datos!CI13/Datos!CJ13),Datos!CI13/Datos!CJ13," - ")</f>
        <v xml:space="preserve"> - </v>
      </c>
      <c r="BK13" s="899">
        <f>SUBTOTAL(9,BK8:BK12)</f>
        <v>0</v>
      </c>
      <c r="BL13" s="899">
        <f>IF(ISNUMBER((I13-AB13+L13)/(F13)),(I13-AB13+L13)/(F13)," - ")</f>
        <v>-0.75</v>
      </c>
      <c r="BM13" s="904">
        <f>SUBTOTAL(9,BM9:BM12)</f>
        <v>-6.5812552428887366E-2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247</v>
      </c>
      <c r="G16" s="598">
        <f>IF(ISNUMBER(IF(D_I="SI",Datos!I16,Datos!I16+Datos!AC16)),IF(D_I="SI",Datos!I16,Datos!I16+Datos!AC16)," - ")</f>
        <v>292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471</v>
      </c>
      <c r="AC16" s="226">
        <f>IF(ISNUMBER(Datos!Q16),Datos!Q16," - ")</f>
        <v>0</v>
      </c>
      <c r="AD16" s="334"/>
      <c r="AE16" s="484"/>
      <c r="AF16" s="596">
        <f>IF(ISNUMBER(IF(D_I="SI",Datos!L16,Datos!L16+Datos!AF16)),IF(D_I="SI",Datos!L16,Datos!L16+Datos!AF16)," - ")</f>
        <v>284</v>
      </c>
      <c r="AG16" s="334"/>
      <c r="AH16" s="334"/>
      <c r="AI16" s="334"/>
      <c r="AJ16" s="334"/>
      <c r="AK16" s="334"/>
      <c r="AL16" s="479"/>
      <c r="AM16" s="335">
        <f>IF(ISNUMBER(Datos!R16),Datos!R16," - ")</f>
        <v>31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52</v>
      </c>
      <c r="BD16" s="229">
        <f>IF(ISNUMBER(Datos!N16),Datos!N16," - ")</f>
        <v>317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0.92716535433070868</v>
      </c>
      <c r="BH16" s="260">
        <f>IF(ISNUMBER(((IF(D_I="SI",Datos!L16/Datos!K16,(Datos!L16+Datos!AF16)/(Datos!K16+Datos!AE16)))*11)/factor_trimestre),((IF(D_I="SI",Datos!L16/Datos!K16,(Datos!L16+Datos!AF16)/(Datos!K16+Datos!AE16)))*11)/factor_trimestre," - ")</f>
        <v>1.8089171974522291</v>
      </c>
      <c r="BI16" s="243">
        <f>IF(ISNUMBER('Resol  Asuntos'!D16/NºAsuntos!G16),'Resol  Asuntos'!D16/NºAsuntos!G16," - ")</f>
        <v>0.11040339702760085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30</v>
      </c>
      <c r="AC17" s="226">
        <f>IF(ISNUMBER(Datos!Q17),Datos!Q17," - ")</f>
        <v>0</v>
      </c>
      <c r="AD17" s="334"/>
      <c r="AE17" s="484"/>
      <c r="AF17" s="332">
        <f>IF(ISNUMBER(Datos!L17),Datos!L17,"-")</f>
        <v>18</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19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0.88235294117647056</v>
      </c>
      <c r="BH17" s="260">
        <f>IF(ISNUMBER(((IF(D_I="SI",Datos!L17/Datos!K17,(Datos!L17+Datos!AF17)/(Datos!K17+Datos!AE17)))*11)/factor_trimestre),((IF(D_I="SI",Datos!L17/Datos!K17,(Datos!L17+Datos!AF17)/(Datos!K17+Datos!AE17)))*11)/factor_trimestre," - ")</f>
        <v>1.8</v>
      </c>
      <c r="BI17" s="243">
        <f>IF(ISNUMBER('Resol  Asuntos'!D17/NºAsuntos!G17),'Resol  Asuntos'!D17/NºAsuntos!G17," - ")</f>
        <v>0.16666666666666666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247</v>
      </c>
      <c r="G18" s="898">
        <f>SUBTOTAL(9,G15:G17)</f>
        <v>306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501</v>
      </c>
      <c r="AC18" s="899">
        <f t="shared" si="4"/>
        <v>0</v>
      </c>
      <c r="AD18" s="899">
        <f t="shared" si="4"/>
        <v>0</v>
      </c>
      <c r="AE18" s="899">
        <f t="shared" si="4"/>
        <v>0</v>
      </c>
      <c r="AF18" s="899">
        <f t="shared" si="4"/>
        <v>302</v>
      </c>
      <c r="AG18" s="899">
        <f t="shared" si="4"/>
        <v>0</v>
      </c>
      <c r="AH18" s="899">
        <f t="shared" si="4"/>
        <v>0</v>
      </c>
      <c r="AI18" s="899">
        <f t="shared" si="4"/>
        <v>0</v>
      </c>
      <c r="AJ18" s="899">
        <f t="shared" si="4"/>
        <v>0</v>
      </c>
      <c r="AK18" s="899">
        <f t="shared" si="4"/>
        <v>0</v>
      </c>
      <c r="AL18" s="899">
        <f t="shared" si="4"/>
        <v>0</v>
      </c>
      <c r="AM18" s="899">
        <f t="shared" si="4"/>
        <v>35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57</v>
      </c>
      <c r="BD18" s="899">
        <f t="shared" si="4"/>
        <v>336</v>
      </c>
      <c r="BE18" s="899">
        <f t="shared" si="4"/>
        <v>0</v>
      </c>
      <c r="BF18" s="899">
        <f t="shared" si="4"/>
        <v>0</v>
      </c>
      <c r="BG18" s="899">
        <f>IF(ISNUMBER(Datos!K18/Datos!J18),Datos!K18/Datos!J18," - ")</f>
        <v>0.92435424354243545</v>
      </c>
      <c r="BH18" s="903">
        <f>IF(ISNUMBER(((Datos!L18/Datos!K18)*11)/factor_trimestre),((Datos!L18/Datos!K18)*11)/factor_trimestre," - ")</f>
        <v>1.8083832335329344</v>
      </c>
      <c r="BI18" s="899">
        <f>SUBTOTAL(9,BI15:BI17)</f>
        <v>0.27707006369426751</v>
      </c>
      <c r="BJ18" s="899">
        <f>SUBTOTAL(9,BJ15:BJ17)</f>
        <v>0</v>
      </c>
      <c r="BK18" s="899">
        <f>SUBTOTAL(9,BK15:BK17)</f>
        <v>0</v>
      </c>
      <c r="BL18" s="899">
        <f>IF(ISNUMBER((I18-AB18+L18)/(F18)),(I18-AB18+L18)/(F18)," - ")</f>
        <v>-2.0283400809716601</v>
      </c>
      <c r="BM18" s="905">
        <f>IF(ISNUMBER((Datos!P18-Datos!Q18)/(Datos!R18-Datos!P18+Datos!Q18)),(Datos!P18-Datos!Q18)/(Datos!R18-Datos!P18+Datos!Q18)," - ")</f>
        <v>9.375E-2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251</v>
      </c>
      <c r="G19" s="820">
        <f t="shared" si="6"/>
        <v>310</v>
      </c>
      <c r="H19" s="822">
        <f t="shared" si="6"/>
        <v>0</v>
      </c>
      <c r="I19" s="820">
        <f t="shared" si="6"/>
        <v>0</v>
      </c>
      <c r="J19" s="822">
        <f t="shared" si="6"/>
        <v>0</v>
      </c>
      <c r="K19" s="822">
        <f t="shared" si="6"/>
        <v>0</v>
      </c>
      <c r="L19" s="881">
        <f t="shared" si="6"/>
        <v>0</v>
      </c>
      <c r="M19" s="881">
        <f t="shared" si="6"/>
        <v>0</v>
      </c>
      <c r="N19" s="881">
        <f t="shared" si="6"/>
        <v>38</v>
      </c>
      <c r="O19" s="881">
        <f t="shared" si="6"/>
        <v>0</v>
      </c>
      <c r="P19" s="881">
        <f t="shared" si="6"/>
        <v>0</v>
      </c>
      <c r="Q19" s="822">
        <f t="shared" si="6"/>
        <v>113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504</v>
      </c>
      <c r="AC19" s="821">
        <f t="shared" si="7"/>
        <v>45</v>
      </c>
      <c r="AD19" s="821">
        <f t="shared" si="7"/>
        <v>0</v>
      </c>
      <c r="AE19" s="821">
        <f t="shared" si="7"/>
        <v>0</v>
      </c>
      <c r="AF19" s="828">
        <f t="shared" si="7"/>
        <v>305</v>
      </c>
      <c r="AG19" s="828">
        <f t="shared" si="7"/>
        <v>0</v>
      </c>
      <c r="AH19" s="828">
        <f t="shared" si="7"/>
        <v>26</v>
      </c>
      <c r="AI19" s="828">
        <f t="shared" si="7"/>
        <v>0</v>
      </c>
      <c r="AJ19" s="821">
        <f t="shared" si="7"/>
        <v>0</v>
      </c>
      <c r="AK19" s="828">
        <f t="shared" si="7"/>
        <v>0</v>
      </c>
      <c r="AL19" s="828">
        <f t="shared" si="7"/>
        <v>0</v>
      </c>
      <c r="AM19" s="828">
        <f t="shared" si="7"/>
        <v>1566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180</v>
      </c>
      <c r="BD19" s="820">
        <f t="shared" si="7"/>
        <v>449</v>
      </c>
      <c r="BE19" s="820">
        <f t="shared" si="7"/>
        <v>0</v>
      </c>
      <c r="BF19" s="830">
        <f t="shared" si="7"/>
        <v>0</v>
      </c>
      <c r="BG19" s="915">
        <f>IF(ISNUMBER(Datos!K19/Datos!J19),Datos!K19/Datos!J19," - ")</f>
        <v>0.97401347449470643</v>
      </c>
      <c r="BH19" s="915">
        <f>IF(ISNUMBER(((Datos!L19/Datos!K19)*11)/factor_trimestre),((Datos!L19/Datos!K19)*11)/factor_trimestre," - ")</f>
        <v>4.3013833992094863</v>
      </c>
      <c r="BI19" s="813">
        <f>IF(ISNUMBER(Datos!J19/Datos!I19),Datos!J19/Datos!I19," - ")</f>
        <v>0.70728386657590192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-2.0079681274900398</v>
      </c>
      <c r="BM19" s="889">
        <f>IF(ISNUMBER((Datos!P19-Datos!Q19+R19)/(Datos!R19-Datos!P19+Datos!Q19-R19)),(Datos!P19-Datos!Q19+R19)/(Datos!R19-Datos!P19+Datos!Q19-R19)," - ")</f>
        <v>4.5393858477970631E-2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140.29611541307906</v>
      </c>
      <c r="G21" s="552">
        <f>IF(ISNUMBER(STDEV(G8:G18)),STDEV(G8:G18),"-")</f>
        <v>159.88120589988054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260.07075960207447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52.756042307966958</v>
      </c>
      <c r="BD21" s="551"/>
      <c r="BE21" s="551">
        <f>IF(ISNUMBER(STDEV(BE8:BE18)),STDEV(BE8:BE18),"-")</f>
        <v>0</v>
      </c>
      <c r="BF21" s="556">
        <f>IF(ISNUMBER(STDEV(BF8:BF18)),STDEV(BF8:BF18),"-")</f>
        <v>0</v>
      </c>
      <c r="BG21" s="775">
        <f>IF(ISNUMBER(STDEV(BG8:BG18)),STDEV(BG8:BG18),"-")</f>
        <v>0.22906159783792848</v>
      </c>
      <c r="BH21" s="776">
        <f>IF(ISNUMBER(STDEV(BH8:BH18)),STDEV(BH8:BH18),"-")</f>
        <v>2.3569883044153901</v>
      </c>
      <c r="BI21" s="249">
        <f>IF(ISNUMBER(STDEV(BI8:BI18)),STDEV(BI8:BI18),"-")</f>
        <v>7.1802619540168491E-2</v>
      </c>
      <c r="BJ21" s="230" t="str">
        <f>IF(ISNUMBER(BL21/BM21),BL21/BM21," - ")</f>
        <v xml:space="preserve"> - </v>
      </c>
      <c r="BK21" s="575"/>
      <c r="BL21" s="559">
        <f>IF(ISNUMBER(STDEV(BL8:BL18)),STDEV(BL8:BL18),"-")</f>
        <v>0.9039229399176214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lbhPYldqXndV1dqsURXw891WlV17hhPvvkwW3AhxvSq36l9P5M21RfMxTFuFR+Ofrlm6QbxDN0tTnCo40c/p1A==" saltValue="ECjXoBwbBzO+I6KZxPlw3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CORDOBA  Resumenes por Partidos Judiciales  PUENTE GENIL</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1</v>
      </c>
      <c r="AA10" s="332">
        <f>IF(ISNUMBER(Datos!L10),Datos!L10,"-")</f>
        <v>3</v>
      </c>
      <c r="AB10" s="334"/>
      <c r="AC10" s="334"/>
      <c r="AD10" s="484"/>
      <c r="AE10" s="484">
        <f>IF(ISNUMBER(Datos!R10),Datos!R10," - ")</f>
        <v>8</v>
      </c>
      <c r="AF10" s="229" t="str">
        <f>IF(ISNUMBER(Datos!BV10),Datos!BV10," - ")</f>
        <v xml:space="preserve"> - </v>
      </c>
      <c r="AG10" s="225" t="str">
        <f>IF(ISNUMBER(Datos!DV10),Datos!DV10," - ")</f>
        <v xml:space="preserve"> - </v>
      </c>
      <c r="AH10" s="298"/>
      <c r="AI10" s="227"/>
      <c r="AJ10" s="225">
        <f>IF(ISNUMBER(Datos!M10),Datos!M10," - ")</f>
        <v>3</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-0.1111111111111111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110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44</v>
      </c>
      <c r="AA12" s="332" t="str">
        <f>IF(ISNUMBER(IF(J_V="SI",Datos!L12,Datos!L12+Datos!AB12)-IF(Monitorios="SI",Datos!CD12,0)),
                          IF(J_V="SI",Datos!L12,Datos!L12+Datos!AB12)-IF(Monitorios="SI",Datos!CD12,0),
                          " - ")</f>
        <v xml:space="preserve"> - </v>
      </c>
      <c r="AB12" s="334"/>
      <c r="AC12" s="334"/>
      <c r="AD12" s="484"/>
      <c r="AE12" s="484">
        <f>IF(ISNUMBER(Datos!R12),Datos!R12," - ")</f>
        <v>1523</v>
      </c>
      <c r="AF12" s="229" t="str">
        <f>IF(ISNUMBER(Datos!BV12),Datos!BV12," - ")</f>
        <v xml:space="preserve"> - </v>
      </c>
      <c r="AG12" s="225" t="str">
        <f>IF(ISNUMBER(Datos!DV12),Datos!DV12," - ")</f>
        <v xml:space="preserve"> - </v>
      </c>
      <c r="AH12" s="298"/>
      <c r="AI12" s="227"/>
      <c r="AJ12" s="225">
        <f>IF(ISNUMBER(Datos!M12),Datos!M12," - ")</f>
        <v>120</v>
      </c>
      <c r="AK12" s="229">
        <f>IF(ISNUMBER(Datos!N12),Datos!N12," - ")</f>
        <v>113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6.4043715846994544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4.5298558682223745E-2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110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45</v>
      </c>
      <c r="AA13" s="900">
        <f t="shared" si="2"/>
        <v>3</v>
      </c>
      <c r="AB13" s="900">
        <f t="shared" si="2"/>
        <v>0</v>
      </c>
      <c r="AC13" s="900">
        <f t="shared" si="2"/>
        <v>0</v>
      </c>
      <c r="AD13" s="900">
        <f t="shared" si="2"/>
        <v>0</v>
      </c>
      <c r="AE13" s="900">
        <f t="shared" si="2"/>
        <v>1531</v>
      </c>
      <c r="AF13" s="908">
        <f t="shared" si="2"/>
        <v>0</v>
      </c>
      <c r="AG13" s="908">
        <f t="shared" si="2"/>
        <v>0</v>
      </c>
      <c r="AH13" s="908">
        <f t="shared" si="2"/>
        <v>0</v>
      </c>
      <c r="AI13" s="908">
        <f t="shared" si="2"/>
        <v>0</v>
      </c>
      <c r="AJ13" s="908">
        <f t="shared" si="2"/>
        <v>123</v>
      </c>
      <c r="AK13" s="908">
        <f t="shared" si="2"/>
        <v>113</v>
      </c>
      <c r="AL13" s="908">
        <f t="shared" si="2"/>
        <v>0</v>
      </c>
      <c r="AM13" s="908">
        <f t="shared" si="2"/>
        <v>0</v>
      </c>
      <c r="AN13" s="908">
        <f t="shared" si="2"/>
        <v>0</v>
      </c>
      <c r="AO13" s="904">
        <f>IF(ISNUMBER(((NºAsuntos!I13/NºAsuntos!G13)*11)/factor_trimestre),((NºAsuntos!I13/NºAsuntos!G13)*11)/factor_trimestre," - ")</f>
        <v>6.3858695652173907</v>
      </c>
      <c r="AP13" s="910" t="str">
        <f>IF(ISNUMBER(Datos!CI13/Datos!CJ13),Datos!CI13/Datos!CJ13," - ")</f>
        <v xml:space="preserve"> - </v>
      </c>
      <c r="AQ13" s="928">
        <f t="shared" ref="AQ13:AV13" si="3">SUBTOTAL(9,AQ9:AQ12)</f>
        <v>0</v>
      </c>
      <c r="AR13" s="928">
        <f t="shared" si="3"/>
        <v>-6.5812552428887366E-2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247</v>
      </c>
      <c r="G16" s="225">
        <f>IF(ISNUMBER(IF(D_I="SI",Datos!I16,Datos!I16+Datos!AC16)),IF(D_I="SI",Datos!I16,Datos!I16+Datos!AC16)," - ")</f>
        <v>292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471</v>
      </c>
      <c r="Z16" s="619">
        <f>IF(ISNUMBER(Datos!Q16),Datos!Q16," - ")</f>
        <v>0</v>
      </c>
      <c r="AA16" s="332">
        <f>IF(ISNUMBER(IF(D_I="SI",Datos!L16,Datos!L16+Datos!AF16)),IF(D_I="SI",Datos!L16,Datos!L16+Datos!AF16)," - ")</f>
        <v>284</v>
      </c>
      <c r="AB16" s="334"/>
      <c r="AC16" s="334"/>
      <c r="AD16" s="484"/>
      <c r="AE16" s="484">
        <f>IF(ISNUMBER(Datos!R16),Datos!R16," - ")</f>
        <v>31</v>
      </c>
      <c r="AF16" s="229" t="str">
        <f>IF(ISNUMBER(Datos!BV16),Datos!BV16," - ")</f>
        <v xml:space="preserve"> - </v>
      </c>
      <c r="AG16" s="225"/>
      <c r="AH16" s="298"/>
      <c r="AI16" s="227"/>
      <c r="AJ16" s="225">
        <f>IF(ISNUMBER(Datos!M16),Datos!M16," - ")</f>
        <v>52</v>
      </c>
      <c r="AK16" s="229">
        <f>IF(ISNUMBER(Datos!N16),Datos!N16," - ")</f>
        <v>317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1.8089171974522291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30</v>
      </c>
      <c r="Z17" s="619">
        <f>IF(ISNUMBER(Datos!Q17),Datos!Q17," - ")</f>
        <v>0</v>
      </c>
      <c r="AA17" s="332">
        <f>IF(ISNUMBER(Datos!L17),Datos!L17,"-")</f>
        <v>18</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5</v>
      </c>
      <c r="AK17" s="229">
        <f>IF(ISNUMBER(Datos!N17),Datos!N17," - ")</f>
        <v>19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247</v>
      </c>
      <c r="G18" s="898">
        <f>SUBTOTAL(9,G15:G17)</f>
        <v>306</v>
      </c>
      <c r="H18" s="932">
        <f>SUBTOTAL(9,H15:H17)</f>
        <v>0</v>
      </c>
      <c r="I18" s="911">
        <f>SUBTOTAL(9,I15:I17)</f>
        <v>0</v>
      </c>
      <c r="J18" s="867">
        <f>SUBTOTAL(9,J14:J17)</f>
        <v>0</v>
      </c>
      <c r="K18" s="932">
        <f t="shared" ref="K18:S18" si="4">SUBTOTAL(9,K15:K17)</f>
        <v>0</v>
      </c>
      <c r="L18" s="932">
        <f t="shared" si="4"/>
        <v>0</v>
      </c>
      <c r="M18" s="932">
        <f t="shared" si="4"/>
        <v>0</v>
      </c>
      <c r="N18" s="932">
        <f t="shared" si="4"/>
        <v>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501</v>
      </c>
      <c r="Z18" s="932">
        <f t="shared" si="5"/>
        <v>0</v>
      </c>
      <c r="AA18" s="932">
        <f t="shared" si="5"/>
        <v>302</v>
      </c>
      <c r="AB18" s="932">
        <f t="shared" si="5"/>
        <v>0</v>
      </c>
      <c r="AC18" s="932">
        <f t="shared" si="5"/>
        <v>0</v>
      </c>
      <c r="AD18" s="932">
        <f t="shared" si="5"/>
        <v>0</v>
      </c>
      <c r="AE18" s="932">
        <f t="shared" si="5"/>
        <v>35</v>
      </c>
      <c r="AF18" s="932">
        <f t="shared" si="5"/>
        <v>0</v>
      </c>
      <c r="AG18" s="932">
        <f t="shared" si="5"/>
        <v>0</v>
      </c>
      <c r="AH18" s="932">
        <f t="shared" si="5"/>
        <v>0</v>
      </c>
      <c r="AI18" s="932">
        <f t="shared" si="5"/>
        <v>0</v>
      </c>
      <c r="AJ18" s="932">
        <f t="shared" si="5"/>
        <v>57</v>
      </c>
      <c r="AK18" s="932">
        <f t="shared" si="5"/>
        <v>336</v>
      </c>
      <c r="AL18" s="932">
        <f t="shared" si="5"/>
        <v>0</v>
      </c>
      <c r="AM18" s="932">
        <f t="shared" si="5"/>
        <v>0</v>
      </c>
      <c r="AN18" s="932">
        <f t="shared" si="5"/>
        <v>0</v>
      </c>
      <c r="AO18" s="934">
        <f>IF(ISNUMBER(((NºAsuntos!I18/NºAsuntos!G18)*11)/factor_trimestre),((NºAsuntos!I18/NºAsuntos!G18)*11)/factor_trimestre," - ")</f>
        <v>1.8083832335329344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251</v>
      </c>
      <c r="G19" s="820">
        <f t="shared" si="7"/>
        <v>310</v>
      </c>
      <c r="H19" s="821">
        <f t="shared" si="7"/>
        <v>0</v>
      </c>
      <c r="I19" s="820">
        <f t="shared" si="7"/>
        <v>0</v>
      </c>
      <c r="J19" s="822">
        <f t="shared" si="7"/>
        <v>0</v>
      </c>
      <c r="K19" s="820">
        <f t="shared" si="7"/>
        <v>0</v>
      </c>
      <c r="L19" s="823">
        <f t="shared" si="7"/>
        <v>0</v>
      </c>
      <c r="M19" s="820">
        <f t="shared" si="7"/>
        <v>0</v>
      </c>
      <c r="N19" s="821">
        <f t="shared" si="7"/>
        <v>113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504</v>
      </c>
      <c r="Z19" s="827">
        <f t="shared" si="8"/>
        <v>45</v>
      </c>
      <c r="AA19" s="828">
        <f t="shared" si="8"/>
        <v>305</v>
      </c>
      <c r="AB19" s="828">
        <f t="shared" si="8"/>
        <v>0</v>
      </c>
      <c r="AC19" s="828">
        <f t="shared" si="8"/>
        <v>0</v>
      </c>
      <c r="AD19" s="829">
        <f t="shared" si="8"/>
        <v>0</v>
      </c>
      <c r="AE19" s="829">
        <f t="shared" si="8"/>
        <v>1566</v>
      </c>
      <c r="AF19" s="830">
        <f t="shared" si="8"/>
        <v>0</v>
      </c>
      <c r="AG19" s="831">
        <f t="shared" si="8"/>
        <v>0</v>
      </c>
      <c r="AH19" s="832">
        <f t="shared" si="8"/>
        <v>0</v>
      </c>
      <c r="AI19" s="830">
        <f t="shared" si="8"/>
        <v>0</v>
      </c>
      <c r="AJ19" s="820">
        <f t="shared" si="8"/>
        <v>180</v>
      </c>
      <c r="AK19" s="820">
        <f t="shared" si="8"/>
        <v>449</v>
      </c>
      <c r="AL19" s="820">
        <f t="shared" si="8"/>
        <v>0</v>
      </c>
      <c r="AM19" s="833">
        <f t="shared" si="8"/>
        <v>0</v>
      </c>
      <c r="AN19" s="823">
        <f>IF(ISNUMBER(Datos!K19/Datos!J19),Datos!K19/Datos!J19," - ")</f>
        <v>0.97401347449470643</v>
      </c>
      <c r="AO19" s="823">
        <f>IF(ISNUMBER(FIND("06",Criterios!A8,1)),(IF(ISNUMBER(((Datos!R19/Datos!Q19)*11)/factor_trimestre),((Datos!R19/Datos!Q19)*11)/factor_trimestre," - ")),(IF(ISNUMBER(((Datos!L19/Datos!K19)*11)/factor_trimestre),((Datos!L19/Datos!K19)*11)/factor_trimestre," - ")))</f>
        <v>4.3013833992094863</v>
      </c>
      <c r="AP19" s="834" t="str">
        <f>IF(ISNUMBER(Datos!CI19/Datos!CJ19),Datos!CI19/Datos!CJ19," - ")</f>
        <v xml:space="preserve"> - </v>
      </c>
      <c r="AQ19" s="834">
        <f>IF(OR(ISNUMBER(FIND("01",Criterios!A8,1)),ISNUMBER(FIND("02",Criterios!A8,1)),ISNUMBER(FIND("03",Criterios!A8,1)),ISNUMBER(FIND("04",Criterios!A8,1))),(J19-Y19+K19)/(F19-K19),(I19-Y19+K19)/(F19-K19))</f>
        <v>-2.0079681274900398</v>
      </c>
      <c r="AR19" s="834">
        <f>IF(ISNUMBER((Datos!P19-Datos!Q19+O19)/(Datos!R19-Datos!P19+Datos!Q19-O19)),(Datos!P19-Datos!Q19+O19)/(Datos!R19-Datos!P19+Datos!Q19-O19)," - ")</f>
        <v>4.5393858477970631E-2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140.29611541307906</v>
      </c>
      <c r="G21" s="552">
        <f>IF(ISNUMBER(STDEV(G8:G18)),STDEV(G8:G18),"-")</f>
        <v>159.88120589988054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52.756042307966958</v>
      </c>
      <c r="AK21" s="252"/>
      <c r="AL21" s="252">
        <f>IF(ISNUMBER(STDEV(AL8:AL18)),STDEV(AL8:AL18),"-")</f>
        <v>0</v>
      </c>
      <c r="AM21" s="254">
        <f>IF(ISNUMBER(STDEV(AM8:AM18)),STDEV(AM8:AM18),"-")</f>
        <v>0</v>
      </c>
      <c r="AN21" s="539">
        <f>IF(ISNUMBER(STDEV(AN8:AN18)),STDEV(AN8:AN18),"-")</f>
        <v>0</v>
      </c>
      <c r="AO21" s="540">
        <f>IF(ISNUMBER(STDEV(AO8:AO18)),STDEV(AO8:AO18),"-")</f>
        <v>2.2635267553601266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zj2koZsxHm0RWUtZZMEXsV5baYRzso3s6h5xQyHWuRESI8yxgTTZwzDHAfvAq6HMBg6Mb+qL4D/7MpLWE+f/GQ==" saltValue="hwUhveS6qNfnI1pGfOCL2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M66u9m5qguQtXOmYgcMiwRQ0iSFQDuSYmPvI6lv8uTGk9l/RNKlDOENoCC0tz59kqrGtgIFrTqMeTnYT9z1Zhw==" saltValue="osrZ2DrKblpfVMGYuWpt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niYy5j+l6ZhEWUCDI4zMabYhMpKH4bUaJuPyW7+tNbj2WrnrD2T1zfaKQ8BT2dUtIELhVRRZt12vqsvUzdu0g==" saltValue="SgU709IjQQdj1B9HpEaIg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PUENTE GENIL</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0.22282608695652173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0.15756183711221983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a6/JZ2jzd0/QzzXOjqK4CPqod3McPkXKTqA3ijrrnAnAaaopWmvLelxO9eLar8hFRjNNZitBpmycTCIVlbbxcg==" saltValue="5Y7Y5GvfzNfVgYndSIlXg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GakP59COrfRhPR0cjNB8JYt6Tr+9zrFkubpcTS4zp6exogpoxOdO0py32/8wV72RKGu4Ztpa7r/n/Zaa8e9r1w==" saltValue="8H0q/rTBV/f9Dos98Ok54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CORDOBA</v>
      </c>
      <c r="D3" s="375"/>
      <c r="E3" s="375"/>
      <c r="F3" s="375"/>
      <c r="BQ3" s="471"/>
    </row>
    <row r="4" spans="1:69" ht="13.5" thickBot="1">
      <c r="A4" s="375"/>
      <c r="B4" s="391" t="str">
        <f>Criterios!A11 &amp;"  "&amp;Criterios!B11</f>
        <v>Resumenes por Partidos Judiciales  PUENTE GENIL</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v>
      </c>
      <c r="D10" s="404">
        <f>IF(ISNUMBER(C10/Datos!BH10),C10/Datos!BH10," - ")</f>
        <v>4</v>
      </c>
      <c r="E10" s="403">
        <f>IF(ISNUMBER(Datos!J10),Datos!J10," - ")</f>
        <v>2</v>
      </c>
      <c r="F10" s="404">
        <f>IF(ISNUMBER(E10/B10),E10/B10," - ")</f>
        <v>2</v>
      </c>
      <c r="G10" s="403">
        <f>IF(ISNUMBER(Datos!K10),Datos!K10," - ")</f>
        <v>3</v>
      </c>
      <c r="H10" s="404">
        <f>IF(ISNUMBER(G10/B10),G10/B10," - ")</f>
        <v>3</v>
      </c>
      <c r="I10" s="403">
        <f>IF(ISNUMBER(Datos!L10),Datos!L10," - ")</f>
        <v>3</v>
      </c>
      <c r="J10" s="404">
        <f>IF(ISNUMBER(I10/B10),I10/B10," - ")</f>
        <v>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1188</v>
      </c>
      <c r="D12" s="404">
        <f>IF(ISNUMBER(C12/Datos!BH12),C12/Datos!BH12," - ")</f>
        <v>594</v>
      </c>
      <c r="E12" s="403">
        <f>IF(ISNUMBER(IF(J_V="SI",Datos!J12,Datos!J12+Datos!Z12)),IF(J_V="SI",Datos!J12,Datos!J12+Datos!Z12)," - ")</f>
        <v>533</v>
      </c>
      <c r="F12" s="404">
        <f>IF(ISNUMBER(E12/B12),E12/B12," - ")</f>
        <v>266.5</v>
      </c>
      <c r="G12" s="403">
        <f>IF(ISNUMBER(IF(J_V="SI",Datos!K12,Datos!K12+Datos!AA12)),IF(J_V="SI",Datos!K12,Datos!K12+Datos!AA12)," - ")</f>
        <v>549</v>
      </c>
      <c r="H12" s="404">
        <f>IF(ISNUMBER(G12/B12),G12/B12," - ")</f>
        <v>274.5</v>
      </c>
      <c r="I12" s="403">
        <f>IF(ISNUMBER(IF(J_V="SI",Datos!L12,Datos!L12+Datos!AB12)),IF(J_V="SI",Datos!L12,Datos!L12+Datos!AB12)," - ")</f>
        <v>1172</v>
      </c>
      <c r="J12" s="404">
        <f>IF(ISNUMBER(I12/B12),I12/B12," - ")</f>
        <v>586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1192</v>
      </c>
      <c r="D13" s="850" t="str">
        <f>IF(ISNUMBER(C13/Datos!BI13),C13/Datos!BI13," - ")</f>
        <v xml:space="preserve"> - </v>
      </c>
      <c r="E13" s="849">
        <f>SUBTOTAL(9,E8:E12)</f>
        <v>535</v>
      </c>
      <c r="F13" s="850">
        <f>IF(ISNUMBER(E13/B13),E13/B13," - ")</f>
        <v>267.5</v>
      </c>
      <c r="G13" s="849">
        <f>SUBTOTAL(9,G8:G12)</f>
        <v>552</v>
      </c>
      <c r="H13" s="850">
        <f>IF(ISNUMBER(G13/B13),G13/B13," - ")</f>
        <v>276</v>
      </c>
      <c r="I13" s="849">
        <f>SUBTOTAL(9,I8:I12)</f>
        <v>1175</v>
      </c>
      <c r="J13" s="850">
        <f>IF(ISNUMBER(I13/B13),I13/B13," - ")</f>
        <v>587.5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292</v>
      </c>
      <c r="D16" s="404">
        <f>IF(ISNUMBER(C16/Datos!BH16),C16/Datos!BH16," - ")</f>
        <v>146</v>
      </c>
      <c r="E16" s="403">
        <f>IF(ISNUMBER(IF(D_I="SI",Datos!J16,Datos!J16+Datos!AD16)),IF(D_I="SI",Datos!J16,Datos!J16+Datos!AD16)," - ")</f>
        <v>508</v>
      </c>
      <c r="F16" s="404">
        <f>IF(ISNUMBER(E16/B16),E16/B16," - ")</f>
        <v>254</v>
      </c>
      <c r="G16" s="403">
        <f>IF(ISNUMBER(IF(D_I="SI",Datos!K16,Datos!K16+Datos!AE16)),IF(D_I="SI",Datos!K16,Datos!K16+Datos!AE16)," - ")</f>
        <v>471</v>
      </c>
      <c r="H16" s="404">
        <f>IF(ISNUMBER(G16/B16),G16/B16," - ")</f>
        <v>235.5</v>
      </c>
      <c r="I16" s="403">
        <f>IF(ISNUMBER(IF(D_I="SI",Datos!L16,Datos!L16+Datos!AF16)),IF(D_I="SI",Datos!L16,Datos!L16+Datos!AF16)," - ")</f>
        <v>284</v>
      </c>
      <c r="J16" s="404">
        <f>IF(ISNUMBER(I16/B16),I16/B16," - ")</f>
        <v>142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14</v>
      </c>
      <c r="D17" s="404">
        <f>IF(ISNUMBER(C17/Datos!BH17),C17/Datos!BH17," - ")</f>
        <v>14</v>
      </c>
      <c r="E17" s="403">
        <f>IF(ISNUMBER(IF(D_I="SI",Datos!J17,Datos!J17+Datos!AD17)),IF(D_I="SI",Datos!J17,Datos!J17+Datos!AD17)," - ")</f>
        <v>34</v>
      </c>
      <c r="F17" s="404">
        <f>IF(ISNUMBER(E17/B17),E17/B17," - ")</f>
        <v>34</v>
      </c>
      <c r="G17" s="403">
        <f>IF(ISNUMBER(IF(D_I="SI",Datos!K17,Datos!K17+Datos!AE17)),IF(D_I="SI",Datos!K17,Datos!K17+Datos!AE17)," - ")</f>
        <v>30</v>
      </c>
      <c r="H17" s="404">
        <f>IF(ISNUMBER(G17/B17),G17/B17," - ")</f>
        <v>30</v>
      </c>
      <c r="I17" s="403">
        <f>IF(ISNUMBER(IF(D_I="SI",Datos!L17,Datos!L17+Datos!AF17)),IF(D_I="SI",Datos!L17,Datos!L17+Datos!AF17)," - ")</f>
        <v>18</v>
      </c>
      <c r="J17" s="404">
        <f>IF(ISNUMBER(I17/B17),I17/B17," - ")</f>
        <v>18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306</v>
      </c>
      <c r="D18" s="850" t="str">
        <f>IF(ISNUMBER(C18/Datos!BI18),C18/Datos!BI18," - ")</f>
        <v xml:space="preserve"> - </v>
      </c>
      <c r="E18" s="849">
        <f>SUBTOTAL(9,E14:E17)</f>
        <v>542</v>
      </c>
      <c r="F18" s="850">
        <f>IF(ISNUMBER(E18/B18),E18/B18," - ")</f>
        <v>271</v>
      </c>
      <c r="G18" s="849">
        <f>SUBTOTAL(9,G14:G17)</f>
        <v>501</v>
      </c>
      <c r="H18" s="850">
        <f>IF(ISNUMBER(G18/B18),G18/B18," - ")</f>
        <v>250.5</v>
      </c>
      <c r="I18" s="849">
        <f>SUBTOTAL(9,I14:I17)</f>
        <v>302</v>
      </c>
      <c r="J18" s="850">
        <f>IF(ISNUMBER(I18/B18),I18/B18," - ")</f>
        <v>151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1498</v>
      </c>
      <c r="D19" s="795" t="str">
        <f>IF(ISNUMBER(C19/Datos!BI19),C19/Datos!BI19," - ")</f>
        <v xml:space="preserve"> - </v>
      </c>
      <c r="E19" s="794">
        <f>SUBTOTAL(9,E9:E18)</f>
        <v>1077</v>
      </c>
      <c r="F19" s="795">
        <f>IF(ISNUMBER(E19/B19),E19/B19," - ")</f>
        <v>538.5</v>
      </c>
      <c r="G19" s="794">
        <f>SUBTOTAL(9,G9:G18)</f>
        <v>1053</v>
      </c>
      <c r="H19" s="795">
        <f>IF(ISNUMBER(G19/B19),G19/B19," - ")</f>
        <v>526.5</v>
      </c>
      <c r="I19" s="794">
        <f>SUBTOTAL(9,I9:I18)</f>
        <v>1477</v>
      </c>
      <c r="J19" s="795">
        <f>IF(ISNUMBER(I19/B19),I19/B19," - ")</f>
        <v>738.5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DfGzBzipQymh8uM20mY0IntB1Z1Awdi+FtBExej3XJIQ+5LVwlp/zLfw+cBzOGuhbB8t1G+J8XAIKvhBQZinjA==" saltValue="3h8ovCvawqENjyWsYvRS5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CORDOBA  Resumenes por Partidos Judiciales  PUENTE GENIL</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110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1523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120</v>
      </c>
      <c r="AM12" s="690">
        <f>IF(ISNUMBER(Datos!N12+DatosP!N16),Datos!N12+DatosP!N16," - ")</f>
        <v>113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6.4043715846994544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4.5298558682223745E-2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110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44</v>
      </c>
      <c r="AE13" s="939">
        <f t="shared" si="1"/>
        <v>0</v>
      </c>
      <c r="AF13" s="939">
        <f t="shared" si="1"/>
        <v>3</v>
      </c>
      <c r="AG13" s="939">
        <f t="shared" si="1"/>
        <v>0</v>
      </c>
      <c r="AH13" s="939">
        <f t="shared" si="1"/>
        <v>1523</v>
      </c>
      <c r="AI13" s="939">
        <f t="shared" si="1"/>
        <v>0</v>
      </c>
      <c r="AJ13" s="939">
        <f t="shared" si="1"/>
        <v>0</v>
      </c>
      <c r="AK13" s="939">
        <f t="shared" si="1"/>
        <v>0</v>
      </c>
      <c r="AL13" s="939">
        <f t="shared" si="1"/>
        <v>123</v>
      </c>
      <c r="AM13" s="939">
        <f t="shared" si="1"/>
        <v>113</v>
      </c>
      <c r="AN13" s="939">
        <f t="shared" si="1"/>
        <v>0</v>
      </c>
      <c r="AO13" s="939">
        <f t="shared" si="1"/>
        <v>0</v>
      </c>
      <c r="AP13" s="944">
        <f>IF(ISNUMBER(((Datos!L13/Datos!K13)*11)/factor_trimestre),((Datos!L13/Datos!K13)*11)/factor_trimestre," - ")</f>
        <v>6.7455968688845402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-0.75</v>
      </c>
      <c r="AU13" s="939" t="str">
        <f>IF(ISNUMBER((DatosP!#REF!-DatosP!#REF!+DatosP!#REF!)/(DatosP!#REF!+DatosP!#REF!-DatosP!#REF!-DatosP!#REF!)),(DatosP!#REF!-DatosP!#REF!+DatosP!#REF!)/(DatosP!#REF!+DatosP!#REF!-DatosP!#REF!-DatosP!#REF!)," - ")</f>
        <v xml:space="preserve"> - </v>
      </c>
      <c r="AV13" s="945">
        <f>SUBTOTAL(9,AV9:AV12)</f>
        <v>4.5298558682223745E-2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1.8083832335329344</v>
      </c>
      <c r="AQ18" s="944">
        <f>IF(ISNUMBER(((Datos!M18/Datos!L18)*11)/factor_trimestre),((Datos!M18/Datos!L18)*11)/factor_trimestre," - ")</f>
        <v>0.56622516556291391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9.375E-2</v>
      </c>
      <c r="AW18" s="946">
        <f>IF(ISNUMBER((Datos!Q18-Datos!R18)/(Datos!S18-Datos!Q18+Datos!R18)),(Datos!Q18-Datos!R18)/(Datos!S18-Datos!Q18+Datos!R18)," - ")</f>
        <v>-0.1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110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44</v>
      </c>
      <c r="AE19" s="957">
        <f t="shared" si="5"/>
        <v>0</v>
      </c>
      <c r="AF19" s="958">
        <f t="shared" si="5"/>
        <v>3</v>
      </c>
      <c r="AG19" s="958">
        <f t="shared" si="5"/>
        <v>0</v>
      </c>
      <c r="AH19" s="958">
        <f t="shared" si="5"/>
        <v>1523</v>
      </c>
      <c r="AI19" s="958">
        <f t="shared" si="5"/>
        <v>0</v>
      </c>
      <c r="AJ19" s="959">
        <f t="shared" si="5"/>
        <v>0</v>
      </c>
      <c r="AK19" s="959">
        <f t="shared" si="5"/>
        <v>0</v>
      </c>
      <c r="AL19" s="951">
        <f t="shared" si="5"/>
        <v>123</v>
      </c>
      <c r="AM19" s="951">
        <f t="shared" si="5"/>
        <v>113</v>
      </c>
      <c r="AN19" s="951">
        <f t="shared" si="5"/>
        <v>0</v>
      </c>
      <c r="AO19" s="951">
        <f t="shared" si="5"/>
        <v>0</v>
      </c>
      <c r="AP19" s="951">
        <f>IF(ISNUMBER(((Datos!L19/Datos!K19)*11)/factor_trimestre),((Datos!L19/Datos!K19)*11)/factor_trimestre," - ")</f>
        <v>4.3013833992094863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-0.75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4.5393858477970631E-2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69.303679555994719</v>
      </c>
      <c r="AM21" s="736"/>
      <c r="AN21" s="736">
        <f>IF(ISNUMBER(STDEV(AN8:AN18)),STDEV(AN8:AN18),"-")</f>
        <v>0</v>
      </c>
      <c r="AO21" s="742">
        <f>IF(ISNUMBER(STDEV(AO8:AO18)),STDEV(AO8:AO18),"-")</f>
        <v>0</v>
      </c>
      <c r="AP21" s="779">
        <f>IF(ISNUMBER(STDEV(AP8:AP18)),STDEV(AP8:AP18),"-")</f>
        <v>2.4606031511392947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UPmHRAinGqAjL67QSkdeJ9fdPd0f7SF4jnhfEIcydJm1NG9ifk0JhKmrVKRQC+dsMakgZ5juWDHmjQU+aYULJQ==" saltValue="VIB30FP39WLT3t72SZuS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PUENTE GENIL</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nuqIPRxyDVL7epvg24w8anq2Iqve/YLmV+JJ6dVpSM5/yoJ1158vpu5MBtXSyE5Wn5uTFLgIzmN4KxRBRxugGg==" saltValue="eNNnfbKK/BPnI+pC/Gsx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CORDOBA</v>
      </c>
      <c r="C3" s="391"/>
      <c r="D3" s="425"/>
      <c r="BZ3" s="471"/>
    </row>
    <row r="4" spans="1:78" ht="13.5" thickBot="1">
      <c r="B4" s="391" t="str">
        <f>Criterios!A11 &amp;"  "&amp;Criterios!B11</f>
        <v>Resumenes por Partidos Judiciales  PUENTE GENIL</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3</v>
      </c>
      <c r="E10" s="404">
        <f>IF(ISNUMBER(D10/B10),D10/B10," - ")</f>
        <v>3</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120</v>
      </c>
      <c r="E12" s="404">
        <f t="shared" si="0"/>
        <v>60</v>
      </c>
      <c r="F12" s="403">
        <f>IF(ISNUMBER(Datos!N12),Datos!N12," - ")</f>
        <v>113</v>
      </c>
      <c r="G12" s="404">
        <f t="shared" si="1"/>
        <v>56.5</v>
      </c>
      <c r="H12" s="403">
        <f>IF(ISNUMBER(Datos!O12),Datos!O12," - ")</f>
        <v>226</v>
      </c>
      <c r="I12" s="404">
        <f t="shared" si="2"/>
        <v>113</v>
      </c>
      <c r="BZ12" s="1186">
        <f>Datos!EZ12</f>
        <v>0</v>
      </c>
    </row>
    <row r="13" spans="1:78" ht="14.25" thickTop="1" thickBot="1">
      <c r="A13" s="848" t="str">
        <f>Datos!A13</f>
        <v>TOTAL</v>
      </c>
      <c r="B13" s="849">
        <f>Datos!AP13</f>
        <v>2</v>
      </c>
      <c r="C13" s="851">
        <f>Datos!AR13</f>
        <v>2</v>
      </c>
      <c r="D13" s="849">
        <f>SUBTOTAL(9,D9:D12)</f>
        <v>123</v>
      </c>
      <c r="E13" s="850">
        <f t="shared" si="0"/>
        <v>61.5</v>
      </c>
      <c r="F13" s="849">
        <f>SUBTOTAL(9,F9:F12)</f>
        <v>113</v>
      </c>
      <c r="G13" s="850">
        <f t="shared" si="1"/>
        <v>56.5</v>
      </c>
      <c r="H13" s="849">
        <f>SUBTOTAL(9,H9:H12)</f>
        <v>226</v>
      </c>
      <c r="I13" s="850">
        <f>IF(ISNUMBER(H13/B13),H13/B13," - ")</f>
        <v>113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52</v>
      </c>
      <c r="E16" s="404">
        <f t="shared" si="3"/>
        <v>26</v>
      </c>
      <c r="F16" s="403">
        <f>IF(ISNUMBER(Datos!N16),Datos!N16," - ")</f>
        <v>317</v>
      </c>
      <c r="G16" s="404">
        <f t="shared" si="4"/>
        <v>158.5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5</v>
      </c>
      <c r="E17" s="404">
        <f>IF(ISNUMBER(D17/B17),D17/B17," - ")</f>
        <v>5</v>
      </c>
      <c r="F17" s="403">
        <f>IF(ISNUMBER(Datos!N17),Datos!N17," - ")</f>
        <v>19</v>
      </c>
      <c r="G17" s="404">
        <f>IF(ISNUMBER(F17/B17),F17/B17," - ")</f>
        <v>19</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57</v>
      </c>
      <c r="E18" s="850">
        <f t="shared" si="3"/>
        <v>28.5</v>
      </c>
      <c r="F18" s="849">
        <f>SUBTOTAL(9,F15:F17)</f>
        <v>336</v>
      </c>
      <c r="G18" s="850">
        <f t="shared" si="4"/>
        <v>168</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180</v>
      </c>
      <c r="E19" s="795">
        <f>IF(ISNUMBER(D19/B19),D19/B19," - ")</f>
        <v>90</v>
      </c>
      <c r="F19" s="794">
        <f>SUBTOTAL(9,F8:F18)</f>
        <v>449</v>
      </c>
      <c r="G19" s="795">
        <f>IF(ISNUMBER(F19/B19),F19/B19," - ")</f>
        <v>224.5</v>
      </c>
      <c r="H19" s="794">
        <f>SUBTOTAL(9,H8:H18)</f>
        <v>226</v>
      </c>
      <c r="I19" s="795">
        <f>IF(ISNUMBER(H19/B19),H19/B19," - ")</f>
        <v>113</v>
      </c>
    </row>
    <row r="22" spans="1:78">
      <c r="A22" s="391" t="str">
        <f>Criterios!A4</f>
        <v>Fecha Informe: 27 feb. 2025</v>
      </c>
    </row>
    <row r="27" spans="1:78">
      <c r="A27" s="414"/>
    </row>
  </sheetData>
  <sheetProtection algorithmName="SHA-512" hashValue="J/5hq/eAp9jb6F0F+c0QGNfUrn3hzIS6PaSUKvnjVIBFDeP81uWgWylMfBgaptJNadWVi/gbJwqhv7Yf3FNV7A==" saltValue="G+ueva0evIgt3CWkjj6M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PUENTE GENIL</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110</v>
      </c>
      <c r="C12" s="434">
        <f>IF(ISNUMBER(Datos!Q12),Datos!Q12," - ")</f>
        <v>44</v>
      </c>
      <c r="D12" s="408">
        <f>IF(ISNUMBER(Datos!R12),Datos!R12," - ")</f>
        <v>1523</v>
      </c>
    </row>
    <row r="13" spans="1:4" ht="14.25" thickTop="1" thickBot="1">
      <c r="A13" s="848" t="str">
        <f>Datos!A13</f>
        <v>TOTAL</v>
      </c>
      <c r="B13" s="849">
        <f>SUBTOTAL(9,B9:B12)</f>
        <v>110</v>
      </c>
      <c r="C13" s="853">
        <f>SUBTOTAL(9,C9:C12)</f>
        <v>45</v>
      </c>
      <c r="D13" s="851">
        <f>SUBTOTAL(9,D9:D12)</f>
        <v>1531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v>
      </c>
      <c r="C16" s="434">
        <f>IF(ISNUMBER(Datos!Q16),Datos!Q16," - ")</f>
        <v>0</v>
      </c>
      <c r="D16" s="408">
        <f>IF(ISNUMBER(Datos!R16),Datos!R16," - ")</f>
        <v>31</v>
      </c>
    </row>
    <row r="17" spans="1:4" ht="13.5" thickBot="1">
      <c r="A17" s="402" t="str">
        <f>Datos!A17</f>
        <v>Jdos. Violencia contra la mujer</v>
      </c>
      <c r="B17" s="433">
        <f>IF(ISNUMBER(Datos!P17),Datos!P17," - ")</f>
        <v>2</v>
      </c>
      <c r="C17" s="434">
        <f>IF(ISNUMBER(Datos!Q17),Datos!Q17," - ")</f>
        <v>0</v>
      </c>
      <c r="D17" s="408">
        <f>IF(ISNUMBER(Datos!R17),Datos!R17," - ")</f>
        <v>4</v>
      </c>
    </row>
    <row r="18" spans="1:4" ht="14.25" thickTop="1" thickBot="1">
      <c r="A18" s="848" t="str">
        <f>Datos!A18</f>
        <v>TOTAL</v>
      </c>
      <c r="B18" s="849">
        <f>SUBTOTAL(9,B15:B17)</f>
        <v>3</v>
      </c>
      <c r="C18" s="853">
        <f>SUBTOTAL(9,C15:C17)</f>
        <v>0</v>
      </c>
      <c r="D18" s="851">
        <f>SUBTOTAL(9,D15:D17)</f>
        <v>35</v>
      </c>
    </row>
    <row r="19" spans="1:4" ht="16.5" customHeight="1" thickTop="1" thickBot="1">
      <c r="A19" s="793" t="str">
        <f>Datos!A19</f>
        <v>TOTAL JURISDICCIONES</v>
      </c>
      <c r="B19" s="798">
        <f>SUBTOTAL(9,B8:B18)</f>
        <v>113</v>
      </c>
      <c r="C19" s="799">
        <f>SUBTOTAL(9,C8:C18)</f>
        <v>45</v>
      </c>
      <c r="D19" s="800">
        <f>SUBTOTAL(9,D8:D18)</f>
        <v>1566</v>
      </c>
    </row>
    <row r="20" spans="1:4" ht="7.5" customHeight="1"/>
    <row r="21" spans="1:4" ht="6" customHeight="1"/>
    <row r="22" spans="1:4">
      <c r="A22" s="391" t="str">
        <f>Criterios!A4</f>
        <v>Fecha Informe: 27 feb. 2025</v>
      </c>
    </row>
    <row r="27" spans="1:4">
      <c r="A27" s="414"/>
    </row>
  </sheetData>
  <sheetProtection algorithmName="SHA-512" hashValue="ZcXXJf1Y4uPy4EqDrN+8Jnnwl8C2njvIW8PQS2XW+RRNho00vb1VfikgPcqxgkPRgDDEDKFI+yHcVCOkTPESsg==" saltValue="cNwlwWsPM2B2BXxOKKSr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PUENTE GENIL</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0.33333333333333331</v>
      </c>
      <c r="C10" s="456">
        <f>IF(ISNUMBER((Datos!J10-Datos!T10)/Datos!T10),(Datos!J10-Datos!T10)/Datos!T10," - ")</f>
        <v>1</v>
      </c>
      <c r="D10" s="456">
        <f>IF(ISNUMBER((Datos!K10-Datos!U10)/Datos!U10),(Datos!K10-Datos!U10)/Datos!U10," - ")</f>
        <v>0</v>
      </c>
      <c r="E10" s="456">
        <f>IF(ISNUMBER((Datos!L10-Datos!V10)/Datos!V10),(Datos!L10-Datos!V10)/Datos!V10," - ")</f>
        <v>2</v>
      </c>
      <c r="F10" s="456">
        <f>IF(ISNUMBER((Datos!M10-Datos!W10)/Datos!W10),(Datos!M10-Datos!W10)/Datos!W10," - ")</f>
        <v>0</v>
      </c>
      <c r="G10" s="457" t="str">
        <f>IF(ISNUMBER((Datos!N10-Datos!X10)/Datos!X10),(Datos!N10-Datos!X10)/Datos!X10," - ")</f>
        <v xml:space="preserve"> - </v>
      </c>
      <c r="H10" s="455">
        <f>IF(ISNUMBER(((NºAsuntos!G10/NºAsuntos!E10)-Datos!BD10)/Datos!BD10),((NºAsuntos!G10/NºAsuntos!E10)-Datos!BD10)/Datos!BD10," - ")</f>
        <v>-0.5</v>
      </c>
      <c r="I10" s="456">
        <f>IF(ISNUMBER(((NºAsuntos!I10/NºAsuntos!G10)-Datos!BE10)/Datos!BE10),((NºAsuntos!I10/NºAsuntos!G10)-Datos!BE10)/Datos!BE10," - ")</f>
        <v>2.0000000000000004</v>
      </c>
      <c r="J10" s="461">
        <f>IF(ISNUMBER((('Resol  Asuntos'!D10/NºAsuntos!G10)-Datos!BF10)/Datos!BF10),(('Resol  Asuntos'!D10/NºAsuntos!G10)-Datos!BF10)/Datos!BF10," - ")</f>
        <v>0</v>
      </c>
      <c r="K10" s="462">
        <f>IF(ISNUMBER((((NºAsuntos!C10+NºAsuntos!E10)/NºAsuntos!G10)-Datos!BG10)/Datos!BG10),(((NºAsuntos!C10+NºAsuntos!E10)/NºAsuntos!G10)-Datos!BG10)/Datos!BG10," - ")</f>
        <v>0.50000000000000011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0.1423076923076923</v>
      </c>
      <c r="C12" s="456">
        <f>IF(ISNUMBER(
   IF(J_V="SI",(Datos!J12-Datos!T12)/Datos!T12,(Datos!J12+Datos!Z12-(Datos!T12+Datos!AH12))/(Datos!T12+Datos!AH12))
     ),IF(J_V="SI",(Datos!J12-Datos!T12)/Datos!T12,(Datos!J12+Datos!Z12-(Datos!T12+Datos!AH12))/(Datos!T12+Datos!AH12))," - ")</f>
        <v>0.46027397260273972</v>
      </c>
      <c r="D12" s="456">
        <f>IF(ISNUMBER(
   IF(J_V="SI",(Datos!K12-Datos!U12)/Datos!U12,(Datos!K12+Datos!AA12-(Datos!U12+Datos!AI12))/(Datos!U12+Datos!AI12))
     ),IF(J_V="SI",(Datos!K12-Datos!U12)/Datos!U12,(Datos!K12+Datos!AA12-(Datos!U12+Datos!AI12))/(Datos!U12+Datos!AI12))," - ")</f>
        <v>0.78827361563517917</v>
      </c>
      <c r="E12" s="456">
        <f>IF(ISNUMBER(
   IF(J_V="SI",(Datos!L12-Datos!V12)/Datos!V12,(Datos!L12+Datos!AB12-(Datos!V12+Datos!AJ12))/(Datos!V12+Datos!AJ12))
     ),IF(J_V="SI",(Datos!L12-Datos!V12)/Datos!V12,(Datos!L12+Datos!AB12-(Datos!V12+Datos!AJ12))/(Datos!V12+Datos!AJ12))," - ")</f>
        <v>2.0905923344947737E-2</v>
      </c>
      <c r="F12" s="456">
        <f>IF(ISNUMBER((Datos!M12-Datos!W12)/Datos!W12),(Datos!M12-Datos!W12)/Datos!W12," - ")</f>
        <v>0.79104477611940294</v>
      </c>
      <c r="G12" s="457">
        <f>IF(ISNUMBER((Datos!N12-Datos!X12)/Datos!X12),(Datos!N12-Datos!X12)/Datos!X12," - ")</f>
        <v>3.669724770642202E-2</v>
      </c>
      <c r="H12" s="455">
        <f>IF(ISNUMBER(((NºAsuntos!G12/NºAsuntos!E12)-Datos!BD12)/Datos!BD12),((NºAsuntos!G12/NºAsuntos!E12)-Datos!BD12)/Datos!BD12," - ")</f>
        <v>0.22461514016292752</v>
      </c>
      <c r="I12" s="456">
        <f>IF(ISNUMBER(((NºAsuntos!I12/NºAsuntos!G12)-Datos!BE12)/Datos!BE12),((NºAsuntos!I12/NºAsuntos!G12)-Datos!BE12)/Datos!BE12," - ")</f>
        <v>-0.42911089532440988</v>
      </c>
      <c r="J12" s="461">
        <f>IF(ISNUMBER((('Resol  Asuntos'!D12/NºAsuntos!G12)-Datos!BF12)/Datos!BF12),(('Resol  Asuntos'!D12/NºAsuntos!G12)-Datos!BF12)/Datos!BF12," - ")</f>
        <v>-0.38436857672833008</v>
      </c>
      <c r="K12" s="462">
        <f>IF(ISNUMBER((((NºAsuntos!C12+NºAsuntos!E12)/NºAsuntos!G12)-Datos!BG12)/Datos!BG12),(((NºAsuntos!C12+NºAsuntos!E12)/NºAsuntos!G12)-Datos!BG12)/Datos!BG12," - ")</f>
        <v>-0.31503153582378829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0.14285714285714285</v>
      </c>
      <c r="C13" s="855">
        <f>IF(ISNUMBER(
   IF(J_V="SI",(Datos!J13-Datos!T13)/Datos!T13,(Datos!J13+Datos!Z13-(Datos!T13+Datos!AH13))/(Datos!T13+Datos!AH13))
     ),IF(J_V="SI",(Datos!J13-Datos!T13)/Datos!T13,(Datos!J13+Datos!Z13-(Datos!T13+Datos!AH13))/(Datos!T13+Datos!AH13))," - ")</f>
        <v>0.46174863387978143</v>
      </c>
      <c r="D13" s="855">
        <f>IF(ISNUMBER(
   IF(J_V="SI",(Datos!K13-Datos!U13)/Datos!U13,(Datos!K13+Datos!AA13-(Datos!U13+Datos!AI13))/(Datos!U13+Datos!AI13))
     ),IF(J_V="SI",(Datos!K13-Datos!U13)/Datos!U13,(Datos!K13+Datos!AA13-(Datos!U13+Datos!AI13))/(Datos!U13+Datos!AI13))," - ")</f>
        <v>0.78064516129032258</v>
      </c>
      <c r="E13" s="855">
        <f>IF(ISNUMBER(
   IF(J_V="SI",(Datos!L13-Datos!V13)/Datos!V13,(Datos!L13+Datos!AB13-(Datos!V13+Datos!AJ13))/(Datos!V13+Datos!AJ13))
     ),IF(J_V="SI",(Datos!L13-Datos!V13)/Datos!V13,(Datos!L13+Datos!AB13-(Datos!V13+Datos!AJ13))/(Datos!V13+Datos!AJ13))," - ")</f>
        <v>2.2628372497824196E-2</v>
      </c>
      <c r="F13" s="856">
        <f>IF(ISNUMBER((Datos!M13-Datos!W13)/Datos!W13),(Datos!M13-Datos!W13)/Datos!W13," - ")</f>
        <v>0.75714285714285712</v>
      </c>
      <c r="G13" s="857">
        <f>IF(ISNUMBER((Datos!N13-Datos!X13)/Datos!X13),(Datos!N13-Datos!X13)/Datos!X13," - ")</f>
        <v>3.669724770642202E-2</v>
      </c>
      <c r="H13" s="857">
        <f>IF(ISNUMBER(((NºAsuntos!G13/NºAsuntos!E13)-Datos!BD13)/Datos!BD13),((NºAsuntos!G13/NºAsuntos!E13)-Datos!BD13)/Datos!BD13," - ")</f>
        <v>0.21816098884534202</v>
      </c>
      <c r="I13" s="857">
        <f>IF(ISNUMBER(((NºAsuntos!I13/NºAsuntos!G13)-Datos!BE13)/Datos!BE13),((NºAsuntos!I13/NºAsuntos!G13)-Datos!BE13)/Datos!BE13," - ")</f>
        <v>-0.42569783428564228</v>
      </c>
      <c r="J13" s="857">
        <f>IF(ISNUMBER((('Resol  Asuntos'!D13/NºAsuntos!G13)-Datos!BF13)/Datos!BF13),(('Resol  Asuntos'!D13/NºAsuntos!G13)-Datos!BF13)/Datos!BF13," - ")</f>
        <v>-0.38324922360248448</v>
      </c>
      <c r="K13" s="857">
        <f>IF(ISNUMBER((((NºAsuntos!C13+NºAsuntos!E13)/NºAsuntos!G13)-Datos!BG13)/Datos!BG13),(((NºAsuntos!C13+NºAsuntos!E13)/NºAsuntos!G13)-Datos!BG13)/Datos!BG13," - ")</f>
        <v>-0.31165848942100988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6.8965517241379309E-3</v>
      </c>
      <c r="C16" s="456">
        <f>IF(ISNUMBER(
   IF(D_I="SI",(Datos!J16-Datos!T16)/Datos!T16,(Datos!J16+Datos!AD16-(Datos!T16+Datos!AL16))/(Datos!T16+Datos!AL16))
     ),IF(D_I="SI",(Datos!J16-Datos!T16)/Datos!T16,(Datos!J16+Datos!AD16-(Datos!T16+Datos!AL16))/(Datos!T16+Datos!AL16))," - ")</f>
        <v>-3.0534351145038167E-2</v>
      </c>
      <c r="D16" s="456">
        <f>IF(ISNUMBER(
   IF(D_I="SI",(Datos!K16-Datos!U16)/Datos!U16,(Datos!K16+Datos!AE16-(Datos!U16+Datos!AM16))/(Datos!U16+Datos!AM16))
     ),IF(D_I="SI",(Datos!K16-Datos!U16)/Datos!U16,(Datos!K16+Datos!AE16-(Datos!U16+Datos!AM16))/(Datos!U16+Datos!AM16))," - ")</f>
        <v>-0.12615955473098331</v>
      </c>
      <c r="E16" s="456">
        <f>IF(ISNUMBER(
   IF(D_I="SI",(Datos!L16-Datos!V16)/Datos!V16,(Datos!L16+Datos!AF16-(Datos!V16+Datos!AN16))/(Datos!V16+Datos!AN16))
     ),IF(D_I="SI",(Datos!L16-Datos!V16)/Datos!V16,(Datos!L16+Datos!AF16-(Datos!V16+Datos!AN16))/(Datos!V16+Datos!AN16))," - ")</f>
        <v>3.5335689045936395E-3</v>
      </c>
      <c r="F16" s="456">
        <f>IF(ISNUMBER((Datos!M16-Datos!W16)/Datos!W16),(Datos!M16-Datos!W16)/Datos!W16," - ")</f>
        <v>-1.8867924528301886E-2</v>
      </c>
      <c r="G16" s="457">
        <f>IF(ISNUMBER((Datos!N16-Datos!X16)/Datos!X16),(Datos!N16-Datos!X16)/Datos!X16," - ")</f>
        <v>-0.14324324324324325</v>
      </c>
      <c r="H16" s="455">
        <f>IF(ISNUMBER(((NºAsuntos!G16/NºAsuntos!E16)-Datos!BD16)/Datos!BD16),((NºAsuntos!G16/NºAsuntos!E16)-Datos!BD16)/Datos!BD16," - ")</f>
        <v>-9.8637021021722879E-2</v>
      </c>
      <c r="I16" s="456">
        <f>IF(ISNUMBER(((NºAsuntos!I16/NºAsuntos!G16)-Datos!BE16)/Datos!BE16),((NºAsuntos!I16/NºAsuntos!G16)-Datos!BE16)/Datos!BE16," - ")</f>
        <v>0.14841739626236922</v>
      </c>
      <c r="J16" s="461">
        <f>IF(ISNUMBER((('Resol  Asuntos'!D16/NºAsuntos!G16)-Datos!BF16)/Datos!BF16),(('Resol  Asuntos'!D16/NºAsuntos!G16)-Datos!BF16)/Datos!BF16," - ")</f>
        <v>0.1227817169410729</v>
      </c>
      <c r="K16" s="462">
        <f>IF(ISNUMBER((((NºAsuntos!C16+NºAsuntos!E16)/NºAsuntos!G16)-Datos!BG16)/Datos!BG16),(((NºAsuntos!C16+NºAsuntos!E16)/NºAsuntos!G16)-Datos!BG16)/Datos!BG16," - ")</f>
        <v>0.12469157055144328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-0.44</v>
      </c>
      <c r="C17" s="456">
        <f>IF(ISNUMBER(
   IF(D_I="SI",(Datos!J17-Datos!T17)/Datos!T17,(Datos!J17+Datos!AD17-(Datos!T17+Datos!AL17))/(Datos!T17+Datos!AL17))
     ),IF(D_I="SI",(Datos!J17-Datos!T17)/Datos!T17,(Datos!J17+Datos!AD17-(Datos!T17+Datos!AL17))/(Datos!T17+Datos!AL17))," - ")</f>
        <v>-8.1081081081081086E-2</v>
      </c>
      <c r="D17" s="456">
        <f>IF(ISNUMBER(
   IF(D_I="SI",(Datos!K17-Datos!U17)/Datos!U17,(Datos!K17+Datos!AE17-(Datos!U17+Datos!AM17))/(Datos!U17+Datos!AM17))
     ),IF(D_I="SI",(Datos!K17-Datos!U17)/Datos!U17,(Datos!K17+Datos!AE17-(Datos!U17+Datos!AM17))/(Datos!U17+Datos!AM17))," - ")</f>
        <v>-0.1891891891891892</v>
      </c>
      <c r="E17" s="456">
        <f>IF(ISNUMBER(
   IF(D_I="SI",(Datos!L17-Datos!V17)/Datos!V17,(Datos!L17+Datos!AF17-(Datos!V17+Datos!AN17))/(Datos!V17+Datos!AN17))
     ),IF(D_I="SI",(Datos!L17-Datos!V17)/Datos!V17,(Datos!L17+Datos!AF17-(Datos!V17+Datos!AN17))/(Datos!V17+Datos!AN17))," - ")</f>
        <v>-0.28000000000000003</v>
      </c>
      <c r="F17" s="456">
        <f>IF(ISNUMBER((Datos!M17-Datos!W17)/Datos!W17),(Datos!M17-Datos!W17)/Datos!W17," - ")</f>
        <v>1.5</v>
      </c>
      <c r="G17" s="457">
        <f>IF(ISNUMBER((Datos!N17-Datos!X17)/Datos!X17),(Datos!N17-Datos!X17)/Datos!X17," - ")</f>
        <v>5.5555555555555552E-2</v>
      </c>
      <c r="H17" s="455">
        <f>IF(ISNUMBER(((NºAsuntos!G17/NºAsuntos!E17)-Datos!BD17)/Datos!BD17),((NºAsuntos!G17/NºAsuntos!E17)-Datos!BD17)/Datos!BD17," - ")</f>
        <v>-0.11764705882352944</v>
      </c>
      <c r="I17" s="456">
        <f>IF(ISNUMBER(((NºAsuntos!I17/NºAsuntos!G17)-Datos!BE17)/Datos!BE17),((NºAsuntos!I17/NºAsuntos!G17)-Datos!BE17)/Datos!BE17," - ")</f>
        <v>-0.112</v>
      </c>
      <c r="J17" s="461">
        <f>IF(ISNUMBER((('Resol  Asuntos'!D17/NºAsuntos!G17)-Datos!BF17)/Datos!BF17),(('Resol  Asuntos'!D17/NºAsuntos!G17)-Datos!BF17)/Datos!BF17," - ")</f>
        <v>2.083333333333333</v>
      </c>
      <c r="K17" s="462">
        <f>IF(ISNUMBER((((NºAsuntos!C17+NºAsuntos!E17)/NºAsuntos!G17)-Datos!BG17)/Datos!BG17),(((NºAsuntos!C17+NºAsuntos!E17)/NºAsuntos!G17)-Datos!BG17)/Datos!BG17," - ")</f>
        <v>-4.516129032258058E-2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-2.8571428571428571E-2</v>
      </c>
      <c r="C18" s="855">
        <f>IF(ISNUMBER(
   IF(Criterios!B14="SI",(Datos!J18-Datos!T18)/Datos!T18,(Datos!J18+Datos!AD18-(Datos!T18+Datos!AL18))/(Datos!T18+Datos!AL18))
     ),IF(Criterios!B14="SI",(Datos!J18-Datos!T18)/Datos!T18,(Datos!J18+Datos!AD18-(Datos!T18+Datos!AL18))/(Datos!T18+Datos!AL18))," - ")</f>
        <v>-3.3868092691622102E-2</v>
      </c>
      <c r="D18" s="855">
        <f>IF(ISNUMBER(
   IF(Criterios!B14="SI",(Datos!K18-Datos!U18)/Datos!U18,(Datos!K18+Datos!AE18-(Datos!U18+Datos!AM18))/(Datos!U18+Datos!AM18))
     ),IF(Criterios!B14="SI",(Datos!K18-Datos!U18)/Datos!U18,(Datos!K18+Datos!AE18-(Datos!U18+Datos!AM18))/(Datos!U18+Datos!AM18))," - ")</f>
        <v>-0.13020833333333334</v>
      </c>
      <c r="E18" s="855">
        <f>IF(ISNUMBER(
   IF(Criterios!B14="SI",(Datos!L18-Datos!V18)/Datos!V18,(Datos!L18+Datos!AF18-(Datos!V18+Datos!AN18))/(Datos!V18+Datos!AN18))
     ),IF(Criterios!B14="SI",(Datos!L18-Datos!V18)/Datos!V18,(Datos!L18+Datos!AF18-(Datos!V18+Datos!AN18))/(Datos!V18+Datos!AN18))," - ")</f>
        <v>-1.948051948051948E-2</v>
      </c>
      <c r="F18" s="856">
        <f>IF(ISNUMBER((Datos!M18-Datos!W18)/Datos!W18),(Datos!M18-Datos!W18)/Datos!W18," - ")</f>
        <v>3.6363636363636362E-2</v>
      </c>
      <c r="G18" s="857">
        <f>IF(ISNUMBER((Datos!N18-Datos!X18)/Datos!X18),(Datos!N18-Datos!X18)/Datos!X18," - ")</f>
        <v>-0.13402061855670103</v>
      </c>
      <c r="H18" s="857">
        <f>IF(ISNUMBER(((NºAsuntos!G18/NºAsuntos!E18)-Datos!BD18)/Datos!BD18),((NºAsuntos!G18/NºAsuntos!E18)-Datos!BD18)/Datos!BD18," - ")</f>
        <v>-9.9717481549815565E-2</v>
      </c>
      <c r="I18" s="857">
        <f>IF(ISNUMBER(((NºAsuntos!I18/NºAsuntos!G18)-Datos!BE18)/Datos!BE18),((NºAsuntos!I18/NºAsuntos!G18)-Datos!BE18)/Datos!BE18," - ")</f>
        <v>0.12730383389066036</v>
      </c>
      <c r="J18" s="857">
        <f>IF(ISNUMBER((('Resol  Asuntos'!D18/NºAsuntos!G18)-Datos!BF18)/Datos!BF18),(('Resol  Asuntos'!D18/NºAsuntos!G18)-Datos!BF18)/Datos!BF18," - ")</f>
        <v>0.19150789330430051</v>
      </c>
      <c r="K18" s="857">
        <f>IF(ISNUMBER((((NºAsuntos!C18+NºAsuntos!E18)/NºAsuntos!G18)-Datos!BG18)/Datos!BG18),(((NºAsuntos!C18+NºAsuntos!E18)/NºAsuntos!G18)-Datos!BG18)/Datos!BG18," - ")</f>
        <v>0.11295217783610872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0.10309278350515463</v>
      </c>
      <c r="C19" s="802">
        <f>IF(ISNUMBER(
   IF(J_V="SI",(Datos!J19-Datos!T19)/Datos!T19,(Datos!J19+Datos!Z19-(Datos!T19+Datos!AH19))/(Datos!T19+Datos!AH19))
     ),IF(J_V="SI",(Datos!J19-Datos!T19)/Datos!T19,(Datos!J19+Datos!Z19-(Datos!T19+Datos!AH19))/(Datos!T19+Datos!AH19))," - ")</f>
        <v>0.16181229773462782</v>
      </c>
      <c r="D19" s="802">
        <f>IF(ISNUMBER(
   IF(J_V="SI",(Datos!K19-Datos!U19)/Datos!U19,(Datos!K19+Datos!AA19-(Datos!U19+Datos!AI19))/(Datos!U19+Datos!AI19))
     ),IF(J_V="SI",(Datos!K19-Datos!U19)/Datos!U19,(Datos!K19+Datos!AA19-(Datos!U19+Datos!AI19))/(Datos!U19+Datos!AI19))," - ")</f>
        <v>0.18848758465011287</v>
      </c>
      <c r="E19" s="802">
        <f>IF(ISNUMBER(
   IF(J_V="SI",(Datos!L19-Datos!V19)/Datos!V19,(Datos!L19+Datos!AB19-(Datos!V19+Datos!AJ19))/(Datos!V19+Datos!AJ19))
     ),IF(J_V="SI",(Datos!L19-Datos!V19)/Datos!V19,(Datos!L19+Datos!AB19-(Datos!V19+Datos!AJ19))/(Datos!V19+Datos!AJ19))," - ")</f>
        <v>1.3726835964310227E-2</v>
      </c>
      <c r="F19" s="803">
        <f>IF(ISNUMBER((Datos!M19-Datos!W19)/Datos!W19),(Datos!M19-Datos!W19)/Datos!W19," - ")</f>
        <v>0.44</v>
      </c>
      <c r="G19" s="804">
        <f>IF(ISNUMBER((Datos!N19-Datos!X19)/Datos!X19),(Datos!N19-Datos!X19)/Datos!X19," - ")</f>
        <v>-9.6579476861166996E-2</v>
      </c>
      <c r="H19" s="805">
        <f>IF(ISNUMBER((Tasas!B19-Datos!BD19)/Datos!BD19),(Tasas!B19-Datos!BD19)/Datos!BD19," - ")</f>
        <v>2.2960065896615249E-2</v>
      </c>
      <c r="I19" s="806">
        <f>IF(ISNUMBER((Tasas!C19-Datos!BE19)/Datos!BE19),(Tasas!C19-Datos!BE19)/Datos!BE19," - ")</f>
        <v>-0.14704465653905149</v>
      </c>
      <c r="J19" s="807">
        <f>IF(ISNUMBER((Tasas!D19-Datos!BF19)/Datos!BF19),(Tasas!D19-Datos!BF19)/Datos!BF19," - ")</f>
        <v>-9.3095859562925404E-2</v>
      </c>
      <c r="K19" s="807">
        <f>IF(ISNUMBER((Tasas!E19-Datos!BG19)/Datos!BG19),(Tasas!E19-Datos!BG19)/Datos!BG19," - ")</f>
        <v>-5.180779724908096E-2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GJK3QLbAR/pfvluNS/ZsNXPN9nUyvaPG6QSzQTDoKwtI2qtglhehBIcwYAV0PYSmB+fVKahl76DB1uxxVip5Kg==" saltValue="uw/jNFZgUFeetvVSCVwr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PUENTE GENIL</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1.5</v>
      </c>
      <c r="C10" s="443">
        <f>IF(ISNUMBER(NºAsuntos!I10/NºAsuntos!G10),NºAsuntos!I10/NºAsuntos!G10," - ")</f>
        <v>1</v>
      </c>
      <c r="D10" s="444">
        <f>IF(ISNUMBER('Resol  Asuntos'!D10/NºAsuntos!G10),'Resol  Asuntos'!D10/NºAsuntos!G10," - ")</f>
        <v>1</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1.0300187617260788</v>
      </c>
      <c r="C12" s="443">
        <f>IF(ISNUMBER(NºAsuntos!I12/NºAsuntos!G12),NºAsuntos!I12/NºAsuntos!G12," - ")</f>
        <v>2.1347905282331512</v>
      </c>
      <c r="D12" s="444">
        <f>IF(ISNUMBER('Resol  Asuntos'!D12/NºAsuntos!G12),'Resol  Asuntos'!D12/NºAsuntos!G12," - ")</f>
        <v>0.21857923497267759</v>
      </c>
      <c r="E12" s="445">
        <f>IF(ISNUMBER((NºAsuntos!C12+NºAsuntos!E12)/NºAsuntos!G12),(NºAsuntos!C12+NºAsuntos!E12)/NºAsuntos!G12," - ")</f>
        <v>3.1347905282331512</v>
      </c>
      <c r="G12" s="463"/>
    </row>
    <row r="13" spans="1:7" ht="14.25" thickTop="1" thickBot="1">
      <c r="A13" s="848" t="str">
        <f>Datos!A13</f>
        <v>TOTAL</v>
      </c>
      <c r="B13" s="858">
        <f>IF(ISNUMBER(NºAsuntos!G13/NºAsuntos!E13),NºAsuntos!G13/NºAsuntos!E13," - ")</f>
        <v>1.0317757009345794</v>
      </c>
      <c r="C13" s="859">
        <f>IF(ISNUMBER(NºAsuntos!I13/NºAsuntos!G13),NºAsuntos!I13/NºAsuntos!G13," - ")</f>
        <v>2.1286231884057969</v>
      </c>
      <c r="D13" s="860">
        <f>IF(ISNUMBER('Resol  Asuntos'!D13/NºAsuntos!G13),'Resol  Asuntos'!D13/NºAsuntos!G13," - ")</f>
        <v>0.22282608695652173</v>
      </c>
      <c r="E13" s="861">
        <f>IF(ISNUMBER((NºAsuntos!C13+NºAsuntos!E13)/NºAsuntos!G13),(NºAsuntos!C13+NºAsuntos!E13)/NºAsuntos!G13," - ")</f>
        <v>3.1286231884057969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0.92716535433070868</v>
      </c>
      <c r="C16" s="443">
        <f>IF(ISNUMBER(NºAsuntos!I16/NºAsuntos!G16),NºAsuntos!I16/NºAsuntos!G16," - ")</f>
        <v>0.60297239915074308</v>
      </c>
      <c r="D16" s="444">
        <f>IF(ISNUMBER('Resol  Asuntos'!D16/NºAsuntos!G16),'Resol  Asuntos'!D16/NºAsuntos!G16," - ")</f>
        <v>0.11040339702760085</v>
      </c>
      <c r="E16" s="445">
        <f>IF(ISNUMBER((NºAsuntos!C16+NºAsuntos!E16)/NºAsuntos!G16),(NºAsuntos!C16+NºAsuntos!E16)/NºAsuntos!G16," - ")</f>
        <v>1.6985138004246285</v>
      </c>
      <c r="G16" s="463"/>
    </row>
    <row r="17" spans="1:7" ht="13.5" thickBot="1">
      <c r="A17" s="402" t="str">
        <f>Datos!A17</f>
        <v>Jdos. Violencia contra la mujer</v>
      </c>
      <c r="B17" s="442">
        <f>IF(ISNUMBER(NºAsuntos!G17/NºAsuntos!E17),NºAsuntos!G17/NºAsuntos!E17," - ")</f>
        <v>0.88235294117647056</v>
      </c>
      <c r="C17" s="443">
        <f>IF(ISNUMBER(NºAsuntos!I17/NºAsuntos!G17),NºAsuntos!I17/NºAsuntos!G17," - ")</f>
        <v>0.6</v>
      </c>
      <c r="D17" s="444">
        <f>IF(ISNUMBER('Resol  Asuntos'!D17/NºAsuntos!G17),'Resol  Asuntos'!D17/NºAsuntos!G17," - ")</f>
        <v>0.16666666666666666</v>
      </c>
      <c r="E17" s="445">
        <f>IF(ISNUMBER((NºAsuntos!C17+NºAsuntos!E17)/NºAsuntos!G17),(NºAsuntos!C17+NºAsuntos!E17)/NºAsuntos!G17," - ")</f>
        <v>1.6</v>
      </c>
      <c r="G17" s="463"/>
    </row>
    <row r="18" spans="1:7" ht="14.25" thickTop="1" thickBot="1">
      <c r="A18" s="848" t="str">
        <f>Datos!A18</f>
        <v>TOTAL</v>
      </c>
      <c r="B18" s="858">
        <f>IF(ISNUMBER(NºAsuntos!G18/NºAsuntos!E18),NºAsuntos!G18/NºAsuntos!E18," - ")</f>
        <v>0.92435424354243545</v>
      </c>
      <c r="C18" s="859">
        <f>IF(ISNUMBER(NºAsuntos!I18/NºAsuntos!G18),NºAsuntos!I18/NºAsuntos!G18," - ")</f>
        <v>0.60279441117764476</v>
      </c>
      <c r="D18" s="862">
        <f>IF(ISNUMBER('Resol  Asuntos'!D18/NºAsuntos!G18),'Resol  Asuntos'!D18/NºAsuntos!G18," - ")</f>
        <v>0.11377245508982035</v>
      </c>
      <c r="E18" s="861">
        <f>IF(ISNUMBER((NºAsuntos!C18+NºAsuntos!E18)/NºAsuntos!G18),(NºAsuntos!C18+NºAsuntos!E18)/NºAsuntos!G18," - ")</f>
        <v>1.6926147704590819</v>
      </c>
      <c r="G18" s="463"/>
    </row>
    <row r="19" spans="1:7" ht="15.75" customHeight="1" thickTop="1" thickBot="1">
      <c r="A19" s="793" t="str">
        <f>Datos!A19</f>
        <v>TOTAL JURISDICCIONES</v>
      </c>
      <c r="B19" s="808">
        <f>IF(ISNUMBER(NºAsuntos!G19/NºAsuntos!E19),NºAsuntos!G19/NºAsuntos!E19," - ")</f>
        <v>0.97771587743732591</v>
      </c>
      <c r="C19" s="809">
        <f>IF(ISNUMBER(NºAsuntos!I19/NºAsuntos!G19),NºAsuntos!I19/NºAsuntos!G19," - ")</f>
        <v>1.4026590693257359</v>
      </c>
      <c r="D19" s="810">
        <f>IF(ISNUMBER('Resol  Asuntos'!D19/NºAsuntos!G19),'Resol  Asuntos'!D19/NºAsuntos!G19," - ")</f>
        <v>0.17094017094017094</v>
      </c>
      <c r="E19" s="811">
        <f>IF(ISNUMBER((NºAsuntos!C19+NºAsuntos!E19)/NºAsuntos!G19),(NºAsuntos!C19+NºAsuntos!E19)/NºAsuntos!G19," - ")</f>
        <v>2.4453941120607787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SsPyTxWCzLyFS+8YlDAGo+Czk28gHqiSig1lOHd+4NxN2lbIj3woOQIVAMdqy2B8izfBpIIrNeR2tAmyJY8pAg==" saltValue="WbIcjTwWzanVkIsyTUqIt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PUENTE GENIL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1</v>
      </c>
      <c r="Y10" s="334">
        <f t="shared" ref="Y10:Y12" si="0">SUM(W10:X10)</f>
        <v>4</v>
      </c>
      <c r="Z10" s="335" t="str">
        <f>IF(ISNUMBER(Datos!CC10),Datos!CC10," - ")</f>
        <v xml:space="preserve"> - </v>
      </c>
      <c r="AA10" s="332">
        <f>IF(ISNUMBER(Datos!L10),Datos!L10,"-")</f>
        <v>3</v>
      </c>
      <c r="AB10" s="334">
        <f>IF(ISNUMBER(Datos!R10),Datos!R10," - ")</f>
        <v>8</v>
      </c>
      <c r="AC10" s="334">
        <f t="shared" ref="AC10:AC12" si="1">IF(ISNUMBER(AA10+AB10),AA10+AB10," - ")</f>
        <v>11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1.5</v>
      </c>
      <c r="AM10" s="260">
        <f>IF(ISNUMBER(((NºAsuntos!I10/NºAsuntos!G10)*11)/factor_trimestre),((NºAsuntos!I10/NºAsuntos!G10)*11)/factor_trimestre," - ")</f>
        <v>3</v>
      </c>
      <c r="AN10" s="244">
        <f>IF(ISNUMBER('Resol  Asuntos'!D10/NºAsuntos!G10),'Resol  Asuntos'!D10/NºAsuntos!G10," - ")</f>
        <v>1</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110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44</v>
      </c>
      <c r="Y12" s="334">
        <f t="shared" si="0"/>
        <v>44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1523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120</v>
      </c>
      <c r="AJ12" s="229" t="str">
        <f>IF(ISNUMBER(Datos!BW12),Datos!BW12," - ")</f>
        <v xml:space="preserve"> - </v>
      </c>
      <c r="AK12" s="228" t="str">
        <f>IF(ISNUMBER(Datos!BX12),Datos!BX12," - ")</f>
        <v xml:space="preserve"> - </v>
      </c>
      <c r="AL12" s="243">
        <f>IF(ISNUMBER(NºAsuntos!G12/NºAsuntos!E12),NºAsuntos!G12/NºAsuntos!E12," - ")</f>
        <v>1.0300187617260788</v>
      </c>
      <c r="AM12" s="260">
        <f>IF(ISNUMBER(((NºAsuntos!I12/NºAsuntos!G12)*11)/factor_trimestre),((NºAsuntos!I12/NºAsuntos!G12)*11)/factor_trimestre," - ")</f>
        <v>6.4043715846994544</v>
      </c>
      <c r="AN12" s="244">
        <f>IF(ISNUMBER('Resol  Asuntos'!D12/NºAsuntos!G12),'Resol  Asuntos'!D12/NºAsuntos!G12," - ")</f>
        <v>0.21857923497267759</v>
      </c>
      <c r="AO12" s="245">
        <f>IF(ISNUMBER((NºAsuntos!C12+NºAsuntos!E12)/NºAsuntos!G12),(NºAsuntos!C12+NºAsuntos!E12)/NºAsuntos!G12," - ")</f>
        <v>3.1347905282331512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4</v>
      </c>
      <c r="G13" s="866">
        <f t="shared" si="3"/>
        <v>4</v>
      </c>
      <c r="H13" s="865">
        <f t="shared" si="3"/>
        <v>0</v>
      </c>
      <c r="I13" s="867">
        <f t="shared" si="3"/>
        <v>0</v>
      </c>
      <c r="J13" s="867">
        <f t="shared" si="3"/>
        <v>0</v>
      </c>
      <c r="K13" s="867">
        <f t="shared" si="3"/>
        <v>0</v>
      </c>
      <c r="L13" s="867">
        <f t="shared" si="3"/>
        <v>110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45</v>
      </c>
      <c r="Y13" s="868">
        <f t="shared" si="4"/>
        <v>48</v>
      </c>
      <c r="Z13" s="868">
        <f t="shared" si="4"/>
        <v>0</v>
      </c>
      <c r="AA13" s="868">
        <f t="shared" si="4"/>
        <v>3</v>
      </c>
      <c r="AB13" s="868">
        <f t="shared" si="4"/>
        <v>1531</v>
      </c>
      <c r="AC13" s="868">
        <f t="shared" si="4"/>
        <v>11</v>
      </c>
      <c r="AD13" s="868">
        <f t="shared" si="4"/>
        <v>0</v>
      </c>
      <c r="AE13" s="872">
        <f t="shared" si="4"/>
        <v>0</v>
      </c>
      <c r="AF13" s="865">
        <f t="shared" si="4"/>
        <v>0</v>
      </c>
      <c r="AG13" s="873">
        <f t="shared" si="4"/>
        <v>0</v>
      </c>
      <c r="AH13" s="870">
        <f t="shared" si="4"/>
        <v>0</v>
      </c>
      <c r="AI13" s="865">
        <f t="shared" si="4"/>
        <v>123</v>
      </c>
      <c r="AJ13" s="867">
        <f t="shared" si="4"/>
        <v>0</v>
      </c>
      <c r="AK13" s="870">
        <f>SUBTOTAL(9,AK9:AK12)</f>
        <v>0</v>
      </c>
      <c r="AL13" s="874">
        <f>IF(ISNUMBER(NºAsuntos!G13/NºAsuntos!E13),NºAsuntos!G13/NºAsuntos!E13," - ")</f>
        <v>1.0317757009345794</v>
      </c>
      <c r="AM13" s="874">
        <f>IF(ISNUMBER(((NºAsuntos!I13/NºAsuntos!G13)*11)/factor_trimestre),((NºAsuntos!I13/NºAsuntos!G13)*11)/factor_trimestre," - ")</f>
        <v>6.3858695652173907</v>
      </c>
      <c r="AN13" s="875">
        <f>IF(ISNUMBER('Resol  Asuntos'!D13/NºAsuntos!G13),'Resol  Asuntos'!D13/NºAsuntos!G13," - ")</f>
        <v>0.22282608695652173</v>
      </c>
      <c r="AO13" s="876">
        <f>IF(ISNUMBER((NºAsuntos!C13+NºAsuntos!E13)/NºAsuntos!G13),(NºAsuntos!C13+NºAsuntos!E13)/NºAsuntos!G13," - ")</f>
        <v>3.1286231884057969</v>
      </c>
      <c r="AP13" s="877" t="str">
        <f t="shared" si="2"/>
        <v xml:space="preserve"> - </v>
      </c>
      <c r="AQ13" s="877">
        <f>IF(ISNUMBER((H13-W13+K13)/(F13)),(H13-W13+K13)/(F13)," - ")</f>
        <v>-0.75</v>
      </c>
      <c r="AR13" s="878">
        <f>IF(ISNUMBER((Datos!P13-Datos!Q13)/(Datos!R13-Datos!P13+Datos!Q13)),(Datos!P13-Datos!Q13)/(Datos!R13-Datos!P13+Datos!Q13)," - ")</f>
        <v>4.4338335607094131E-2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247</v>
      </c>
      <c r="G16" s="333">
        <f>IF(ISNUMBER(IF(D_I="SI",Datos!I16,Datos!I16+Datos!AC16)),IF(D_I="SI",Datos!I16,Datos!I16+Datos!AC16)," - ")</f>
        <v>292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471</v>
      </c>
      <c r="X16" s="226">
        <f>IF(ISNUMBER(Datos!Q16),Datos!Q16," - ")</f>
        <v>0</v>
      </c>
      <c r="Y16" s="334">
        <f t="shared" ref="Y16:Y17" si="7">SUM(W16:X16)</f>
        <v>471</v>
      </c>
      <c r="Z16" s="335" t="str">
        <f>IF(ISNUMBER(Datos!CC16),Datos!CC16," - ")</f>
        <v xml:space="preserve"> - </v>
      </c>
      <c r="AA16" s="332">
        <f>IF(ISNUMBER(IF(D_I="SI",Datos!L16,Datos!L16+Datos!AF16)),IF(D_I="SI",Datos!L16,Datos!L16+Datos!AF16)," - ")</f>
        <v>284</v>
      </c>
      <c r="AB16" s="334">
        <f>IF(ISNUMBER(Datos!R16),Datos!R16," - ")</f>
        <v>31</v>
      </c>
      <c r="AC16" s="334">
        <f t="shared" si="6"/>
        <v>315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52</v>
      </c>
      <c r="AJ16" s="231" t="str">
        <f>IF(ISNUMBER(Datos!BW16),Datos!BW16," - ")</f>
        <v xml:space="preserve"> - </v>
      </c>
      <c r="AK16" s="232" t="str">
        <f>IF(ISNUMBER(Datos!BX16),Datos!BX16," - ")</f>
        <v xml:space="preserve"> - </v>
      </c>
      <c r="AL16" s="243">
        <f>IF(ISNUMBER(NºAsuntos!G16/NºAsuntos!E16),NºAsuntos!G16/NºAsuntos!E16," - ")</f>
        <v>0.92716535433070868</v>
      </c>
      <c r="AM16" s="260">
        <f>IF(ISNUMBER(((NºAsuntos!I16/NºAsuntos!G16)*11)/factor_trimestre),((NºAsuntos!I16/NºAsuntos!G16)*11)/factor_trimestre," - ")</f>
        <v>1.8089171974522291</v>
      </c>
      <c r="AN16" s="244">
        <f>IF(ISNUMBER('Resol  Asuntos'!D16/NºAsuntos!G16),'Resol  Asuntos'!D16/NºAsuntos!G16," - ")</f>
        <v>0.11040339702760085</v>
      </c>
      <c r="AO16" s="245">
        <f>IF(ISNUMBER((NºAsuntos!C16+NºAsuntos!E16)/NºAsuntos!G16),(NºAsuntos!C16+NºAsuntos!E16)/NºAsuntos!G16," - ")</f>
        <v>1.6985138004246285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30</v>
      </c>
      <c r="X17" s="226">
        <f>IF(ISNUMBER(Datos!Q17),Datos!Q17," - ")</f>
        <v>0</v>
      </c>
      <c r="Y17" s="334">
        <f t="shared" si="7"/>
        <v>30</v>
      </c>
      <c r="Z17" s="335" t="str">
        <f>IF(ISNUMBER(Datos!CC17),Datos!CC17," - ")</f>
        <v xml:space="preserve"> - </v>
      </c>
      <c r="AA17" s="332">
        <f>IF(ISNUMBER(Datos!L17),Datos!L17,"-")</f>
        <v>18</v>
      </c>
      <c r="AB17" s="334">
        <f>IF(ISNUMBER(Datos!R17),Datos!R17," - ")</f>
        <v>4</v>
      </c>
      <c r="AC17" s="334">
        <f t="shared" si="6"/>
        <v>22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0.88235294117647056</v>
      </c>
      <c r="AM17" s="260">
        <f>IF(ISNUMBER(((NºAsuntos!I17/NºAsuntos!G17)*11)/factor_trimestre),((NºAsuntos!I17/NºAsuntos!G17)*11)/factor_trimestre," - ")</f>
        <v>1.8</v>
      </c>
      <c r="AN17" s="244">
        <f>IF(ISNUMBER('Resol  Asuntos'!D17/NºAsuntos!G17),'Resol  Asuntos'!D17/NºAsuntos!G17," - ")</f>
        <v>0.16666666666666666</v>
      </c>
      <c r="AO17" s="245">
        <f>IF(ISNUMBER((NºAsuntos!C17+NºAsuntos!E17)/NºAsuntos!G17),(NºAsuntos!C17+NºAsuntos!E17)/NºAsuntos!G17," - ")</f>
        <v>1.6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247</v>
      </c>
      <c r="G18" s="866">
        <f>SUBTOTAL(9,G15:G17)</f>
        <v>306</v>
      </c>
      <c r="H18" s="865">
        <f t="shared" ref="H18:O18" si="10">SUBTOTAL(9,H14:H17)</f>
        <v>0</v>
      </c>
      <c r="I18" s="867">
        <f t="shared" si="10"/>
        <v>0</v>
      </c>
      <c r="J18" s="867">
        <f t="shared" si="10"/>
        <v>0</v>
      </c>
      <c r="K18" s="867">
        <f t="shared" si="10"/>
        <v>0</v>
      </c>
      <c r="L18" s="867">
        <f t="shared" si="10"/>
        <v>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501</v>
      </c>
      <c r="X18" s="867">
        <f t="shared" si="11"/>
        <v>0</v>
      </c>
      <c r="Y18" s="868">
        <f t="shared" si="11"/>
        <v>501</v>
      </c>
      <c r="Z18" s="868">
        <f t="shared" si="11"/>
        <v>0</v>
      </c>
      <c r="AA18" s="868">
        <f t="shared" si="11"/>
        <v>302</v>
      </c>
      <c r="AB18" s="868">
        <f t="shared" si="11"/>
        <v>35</v>
      </c>
      <c r="AC18" s="868">
        <f t="shared" si="11"/>
        <v>337</v>
      </c>
      <c r="AD18" s="868">
        <f t="shared" si="11"/>
        <v>0</v>
      </c>
      <c r="AE18" s="872">
        <f t="shared" si="11"/>
        <v>0</v>
      </c>
      <c r="AF18" s="865">
        <f t="shared" si="11"/>
        <v>0</v>
      </c>
      <c r="AG18" s="873">
        <f t="shared" si="11"/>
        <v>0</v>
      </c>
      <c r="AH18" s="870">
        <f t="shared" si="11"/>
        <v>0</v>
      </c>
      <c r="AI18" s="865">
        <f t="shared" si="11"/>
        <v>57</v>
      </c>
      <c r="AJ18" s="867">
        <f t="shared" si="11"/>
        <v>0</v>
      </c>
      <c r="AK18" s="870">
        <f t="shared" si="11"/>
        <v>0</v>
      </c>
      <c r="AL18" s="874">
        <f>IF(ISNUMBER(NºAsuntos!G18/NºAsuntos!E18),NºAsuntos!G18/NºAsuntos!E18," - ")</f>
        <v>0.92435424354243545</v>
      </c>
      <c r="AM18" s="874">
        <f>IF(ISNUMBER(((NºAsuntos!I18/NºAsuntos!G18)*11)/factor_trimestre),((NºAsuntos!I18/NºAsuntos!G18)*11)/factor_trimestre," - ")</f>
        <v>1.8083832335329344</v>
      </c>
      <c r="AN18" s="875">
        <f>IF(ISNUMBER('Resol  Asuntos'!D18/NºAsuntos!G18),'Resol  Asuntos'!D18/NºAsuntos!G18," - ")</f>
        <v>0.11377245508982035</v>
      </c>
      <c r="AO18" s="876">
        <f>IF(ISNUMBER((NºAsuntos!C18+NºAsuntos!E18)/NºAsuntos!G18),(NºAsuntos!C18+NºAsuntos!E18)/NºAsuntos!G18," - ")</f>
        <v>1.6926147704590819</v>
      </c>
      <c r="AP18" s="877" t="str">
        <f t="shared" si="2"/>
        <v xml:space="preserve"> - </v>
      </c>
      <c r="AQ18" s="877">
        <f>IF(ISNUMBER((H18-W18+K18)/(F18)),(H18-W18+K18)/(F18)," - ")</f>
        <v>-2.0283400809716601</v>
      </c>
      <c r="AR18" s="878">
        <f>IF(ISNUMBER((Datos!P18-Datos!Q18)/(Datos!R18-Datos!P18+Datos!Q18)),(Datos!P18-Datos!Q18)/(Datos!R18-Datos!P18+Datos!Q18)," - ")</f>
        <v>9.375E-2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251</v>
      </c>
      <c r="G19" s="821">
        <f t="shared" si="13"/>
        <v>310</v>
      </c>
      <c r="H19" s="820">
        <f t="shared" si="13"/>
        <v>0</v>
      </c>
      <c r="I19" s="822">
        <f t="shared" si="13"/>
        <v>0</v>
      </c>
      <c r="J19" s="822">
        <f t="shared" si="13"/>
        <v>0</v>
      </c>
      <c r="K19" s="881">
        <f t="shared" si="13"/>
        <v>0</v>
      </c>
      <c r="L19" s="822">
        <f t="shared" si="13"/>
        <v>113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504</v>
      </c>
      <c r="X19" s="821">
        <f t="shared" si="14"/>
        <v>45</v>
      </c>
      <c r="Y19" s="828">
        <f t="shared" si="14"/>
        <v>549</v>
      </c>
      <c r="Z19" s="828">
        <f t="shared" si="14"/>
        <v>0</v>
      </c>
      <c r="AA19" s="828">
        <f t="shared" si="14"/>
        <v>305</v>
      </c>
      <c r="AB19" s="828">
        <f t="shared" si="14"/>
        <v>1566</v>
      </c>
      <c r="AC19" s="828">
        <f t="shared" si="14"/>
        <v>348</v>
      </c>
      <c r="AD19" s="828">
        <f t="shared" si="14"/>
        <v>0</v>
      </c>
      <c r="AE19" s="830">
        <f t="shared" si="14"/>
        <v>0</v>
      </c>
      <c r="AF19" s="831">
        <f t="shared" si="14"/>
        <v>0</v>
      </c>
      <c r="AG19" s="832">
        <f t="shared" si="14"/>
        <v>0</v>
      </c>
      <c r="AH19" s="830">
        <f t="shared" si="14"/>
        <v>0</v>
      </c>
      <c r="AI19" s="820">
        <f t="shared" si="14"/>
        <v>180</v>
      </c>
      <c r="AJ19" s="820">
        <f t="shared" si="14"/>
        <v>0</v>
      </c>
      <c r="AK19" s="830">
        <f t="shared" si="14"/>
        <v>0</v>
      </c>
      <c r="AL19" s="884">
        <f>IF(ISNUMBER(NºAsuntos!G19/NºAsuntos!E19),NºAsuntos!G19/NºAsuntos!E19," - ")</f>
        <v>0.97771587743732591</v>
      </c>
      <c r="AM19" s="885">
        <f>IF(ISNUMBER(((NºAsuntos!I19/NºAsuntos!G19)*11)/factor_trimestre),((NºAsuntos!I19/NºAsuntos!G19)*11)/factor_trimestre," - ")</f>
        <v>4.2079772079772084</v>
      </c>
      <c r="AN19" s="885">
        <f>IF(ISNUMBER('Resol  Asuntos'!D19/NºAsuntos!G19),'Resol  Asuntos'!D19/NºAsuntos!G19," - ")</f>
        <v>0.17094017094017094</v>
      </c>
      <c r="AO19" s="886">
        <f>IF(ISNUMBER((NºAsuntos!C19+NºAsuntos!E19)/NºAsuntos!G19),(NºAsuntos!C19+NºAsuntos!E19)/NºAsuntos!G19," - ")</f>
        <v>2.4453941120607787</v>
      </c>
      <c r="AP19" s="887" t="str">
        <f t="shared" si="2"/>
        <v xml:space="preserve"> - </v>
      </c>
      <c r="AQ19" s="888">
        <f>IF(OR(ISNUMBER(FIND("01",Criterios!A8,1)),ISNUMBER(FIND("02",Criterios!A8,1)),ISNUMBER(FIND("03",Criterios!A8,1)),ISNUMBER(FIND("04",Criterios!A8,1))),(I19-W19+K19)/(F19-K19),(H19-W19+K19)/(F19-K19))</f>
        <v>-2.0079681274900398</v>
      </c>
      <c r="AR19" s="889">
        <f>IF(ISNUMBER((Datos!P19-Datos!Q19)/(Datos!R19-Datos!P19+Datos!Q19)),(Datos!P19-Datos!Q19)/(Datos!R19-Datos!P19+Datos!Q19)," - ")</f>
        <v>4.5393858477970631E-2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140.29611541307906</v>
      </c>
      <c r="G21" s="253">
        <f>IF(ISNUMBER(STDEV(G8:G18)),STDEV(G8:G18),"-")</f>
        <v>159.88120589988054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260.07075960207447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52.756042307966958</v>
      </c>
      <c r="AJ21" s="252">
        <f t="shared" si="18"/>
        <v>0</v>
      </c>
      <c r="AK21" s="254">
        <f t="shared" si="18"/>
        <v>0</v>
      </c>
      <c r="AL21" s="249">
        <f t="shared" si="18"/>
        <v>0.22900174166951803</v>
      </c>
      <c r="AM21" s="250">
        <f t="shared" si="18"/>
        <v>2.2635267553601266</v>
      </c>
      <c r="AN21" s="250">
        <f t="shared" si="18"/>
        <v>0.34374908913722413</v>
      </c>
      <c r="AO21" s="251">
        <f t="shared" si="18"/>
        <v>0.72726978860010094</v>
      </c>
      <c r="AP21" s="291" t="str">
        <f t="shared" si="18"/>
        <v>-</v>
      </c>
      <c r="AQ21" s="292">
        <f t="shared" si="18"/>
        <v>0.9039229399176214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XPiVR619IlPKGWZhbgHmmtZvzG/3anx4UJ+hZynUhpYJJ3WznfsMo4VFdO8rm9Kf0AJ3dokxM/AmDNyYsZaGtg==" saltValue="JhGKG4/bn6Iw9OGC8hEje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PUENTE GENIL</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0.33333333333333331</v>
      </c>
      <c r="E10" s="348">
        <f>IF(ISNUMBER((Datos!J10-Datos!T10)/Datos!T10),(Datos!J10-Datos!T10)/Datos!T10," - ")</f>
        <v>1</v>
      </c>
      <c r="F10" s="348">
        <f>IF(ISNUMBER((Datos!K10-Datos!U10)/Datos!U10),(Datos!K10-Datos!U10)/Datos!U10," - ")</f>
        <v>0</v>
      </c>
      <c r="G10" s="349">
        <f>IF(ISNUMBER((Datos!L10-Datos!V10)/Datos!V10),(Datos!L10-Datos!V10)/Datos!V10," - ")</f>
        <v>2</v>
      </c>
      <c r="H10" s="230">
        <f>IF(ISNUMBER((Datos!M10-Datos!W10)/Datos!W10),(Datos!M10-Datos!W10)/Datos!W10," - ")</f>
        <v>0</v>
      </c>
      <c r="I10" s="350">
        <f>IF(ISNUMBER((Tasas!C10-Datos!BE10)/Datos!BE10),(Tasas!C10-Datos!BE10)/Datos!BE10," - ")</f>
        <v>2.0000000000000004</v>
      </c>
      <c r="J10" s="349">
        <f>IF(ISNUMBER((Tasas!D10-Datos!BF10)/Datos!BF10),(Tasas!D10-Datos!BF10)/Datos!BF10," - ")</f>
        <v>0</v>
      </c>
      <c r="K10" s="351">
        <f>IF(ISNUMBER((Tasas!E10-Datos!BG10)/Datos!BG10),(Tasas!E10-Datos!BG10)/Datos!BG10," - ")</f>
        <v>0.50000000000000011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0.79104477611940294</v>
      </c>
      <c r="I12" s="350">
        <f>IF(ISNUMBER((Tasas!C12-Datos!BE12)/Datos!BE12),(Tasas!C12-Datos!BE12)/Datos!BE12," - ")</f>
        <v>-0.42911089532440988</v>
      </c>
      <c r="J12" s="349">
        <f>IF(ISNUMBER((Tasas!D12-Datos!BF12)/Datos!BF12),(Tasas!D12-Datos!BF12)/Datos!BF12," - ")</f>
        <v>-0.38436857672833008</v>
      </c>
      <c r="K12" s="351">
        <f>IF(ISNUMBER((Tasas!E12-Datos!BG12)/Datos!BG12),(Tasas!E12-Datos!BG12)/Datos!BG12," - ")</f>
        <v>-0.31503153582378829</v>
      </c>
      <c r="M12" t="e">
        <f>IF(Monitorios="SI",Datos!CE12,0)</f>
        <v>#REF!</v>
      </c>
      <c r="N12" t="e">
        <f>IF(Monitorios="SI",Datos!CF12,0)</f>
        <v>#REF!</v>
      </c>
      <c r="O12" t="e">
        <f>IF(Monitorios="SI",Datos!CG12,0)</f>
        <v>#REF!</v>
      </c>
      <c r="P12" t="e">
        <f>IF(Monitorios="SI",Datos!CH12,0)</f>
        <v>#REF!</v>
      </c>
      <c r="Q12">
        <f>IF(J_V="SI",0,Datos!AG12)</f>
        <v>29</v>
      </c>
      <c r="R12">
        <f>IF(J_V="SI",0,Datos!AH12)</f>
        <v>19</v>
      </c>
      <c r="S12">
        <f>IF(J_V="SI",0,Datos!AI12)</f>
        <v>22</v>
      </c>
      <c r="T12">
        <f>IF(J_V="SI",0,Datos!AJ12)</f>
        <v>26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0.75714285714285712</v>
      </c>
      <c r="I13" s="357">
        <f>IF(ISNUMBER((Tasas!C13-Datos!BE13)/Datos!BE13),(Tasas!C13-Datos!BE13)/Datos!BE13," - ")</f>
        <v>-0.42569783428564228</v>
      </c>
      <c r="J13" s="355">
        <f>IF(ISNUMBER((Tasas!D13-Datos!BF13)/Datos!BF13),(Tasas!D13-Datos!BF13)/Datos!BF13," - ")</f>
        <v>-0.38324922360248448</v>
      </c>
      <c r="K13" s="358">
        <f>IF(ISNUMBER((Tasas!E13-Datos!BG13)/Datos!BG13),(Tasas!E13-Datos!BG13)/Datos!BG13," - ")</f>
        <v>-0.31165848942100988</v>
      </c>
      <c r="M13" t="e">
        <f>IF(Monitorios="SI",Datos!CE13,0)</f>
        <v>#REF!</v>
      </c>
      <c r="N13" t="e">
        <f>IF(Monitorios="SI",Datos!CF13,0)</f>
        <v>#REF!</v>
      </c>
      <c r="O13" t="e">
        <f>IF(Monitorios="SI",Datos!CG13,0)</f>
        <v>#REF!</v>
      </c>
      <c r="P13" t="e">
        <f>IF(Monitorios="SI",Datos!CH13,0)</f>
        <v>#REF!</v>
      </c>
      <c r="Q13">
        <f>IF(J_V="SI",0,Datos!AG13)</f>
        <v>29</v>
      </c>
      <c r="R13">
        <f>IF(J_V="SI",0,Datos!AH13)</f>
        <v>19</v>
      </c>
      <c r="S13">
        <f>IF(J_V="SI",0,Datos!AI13)</f>
        <v>22</v>
      </c>
      <c r="T13">
        <f>IF(J_V="SI",0,Datos!AJ13)</f>
        <v>26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6.8965517241379309E-3</v>
      </c>
      <c r="E16" s="348">
        <f>IF(ISNUMBER(
   IF(D_I="SI",(Datos!J16-Datos!T16)/Datos!T16,(Datos!J16+Datos!AD16-(Datos!T16+Datos!AL16))/(Datos!T16+Datos!AL16))
     ),IF(D_I="SI",(Datos!J16-Datos!T16)/Datos!T16,(Datos!J16+Datos!AD16-(Datos!T16+Datos!AL16))/(Datos!T16+Datos!AL16))," - ")</f>
        <v>-3.0534351145038167E-2</v>
      </c>
      <c r="F16" s="348">
        <f>IF(ISNUMBER(
   IF(D_I="SI",(Datos!K16-Datos!U16)/Datos!U16,(Datos!K16+Datos!AE16-(Datos!U16+Datos!AM16))/(Datos!U16+Datos!AM16))
     ),IF(D_I="SI",(Datos!K16-Datos!U16)/Datos!U16,(Datos!K16+Datos!AE16-(Datos!U16+Datos!AM16))/(Datos!U16+Datos!AM16))," - ")</f>
        <v>-0.12615955473098331</v>
      </c>
      <c r="G16" s="349">
        <f>IF(ISNUMBER(
   IF(D_I="SI",(Datos!L16-Datos!V16)/Datos!V16,(Datos!L16+Datos!AF16-(Datos!V16+Datos!AN16))/(Datos!V16+Datos!AN16))
     ),IF(D_I="SI",(Datos!L16-Datos!V16)/Datos!V16,(Datos!L16+Datos!AF16-(Datos!V16+Datos!AN16))/(Datos!V16+Datos!AN16))," - ")</f>
        <v>3.5335689045936395E-3</v>
      </c>
      <c r="H16" s="230">
        <f>IF(ISNUMBER((Datos!M16-Datos!W16)/Datos!W16),(Datos!M16-Datos!W16)/Datos!W16," - ")</f>
        <v>-1.8867924528301886E-2</v>
      </c>
      <c r="I16" s="350">
        <f>IF(ISNUMBER((Tasas!C16-Datos!BE16)/Datos!BE16),(Tasas!C16-Datos!BE16)/Datos!BE16," - ")</f>
        <v>0.14841739626236922</v>
      </c>
      <c r="J16" s="349">
        <f>IF(ISNUMBER((Tasas!D16-Datos!BF16)/Datos!BF16),(Tasas!D16-Datos!BF16)/Datos!BF16," - ")</f>
        <v>0.1227817169410729</v>
      </c>
      <c r="K16" s="351">
        <f>IF(ISNUMBER((Tasas!E16-Datos!BG16)/Datos!BG16),(Tasas!E16-Datos!BG16)/Datos!BG16," - ")</f>
        <v>0.12469157055144328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-0.44</v>
      </c>
      <c r="E17" s="348">
        <f>IF(ISNUMBER(
   IF(D_I="SI",(Datos!J17-Datos!T17)/Datos!T17,(Datos!J17+Datos!AD17-(Datos!T17+Datos!AL17))/(Datos!T17+Datos!AL17))
     ),IF(D_I="SI",(Datos!J17-Datos!T17)/Datos!T17,(Datos!J17+Datos!AD17-(Datos!T17+Datos!AL17))/(Datos!T17+Datos!AL17))," - ")</f>
        <v>-8.1081081081081086E-2</v>
      </c>
      <c r="F17" s="348">
        <f>IF(ISNUMBER(
   IF(D_I="SI",(Datos!K17-Datos!U17)/Datos!U17,(Datos!K17+Datos!AE17-(Datos!U17+Datos!AM17))/(Datos!U17+Datos!AM17))
     ),IF(D_I="SI",(Datos!K17-Datos!U17)/Datos!U17,(Datos!K17+Datos!AE17-(Datos!U17+Datos!AM17))/(Datos!U17+Datos!AM17))," - ")</f>
        <v>-0.1891891891891892</v>
      </c>
      <c r="G17" s="349">
        <f>IF(ISNUMBER(
   IF(D_I="SI",(Datos!L17-Datos!V17)/Datos!V17,(Datos!L17+Datos!AF17-(Datos!V17+Datos!AN17))/(Datos!V17+Datos!AN17))
     ),IF(D_I="SI",(Datos!L17-Datos!V17)/Datos!V17,(Datos!L17+Datos!AF17-(Datos!V17+Datos!AN17))/(Datos!V17+Datos!AN17))," - ")</f>
        <v>-0.28000000000000003</v>
      </c>
      <c r="H17" s="230">
        <f>IF(ISNUMBER((Datos!M17-Datos!W17)/Datos!W17),(Datos!M17-Datos!W17)/Datos!W17," - ")</f>
        <v>1.5</v>
      </c>
      <c r="I17" s="350">
        <f>IF(ISNUMBER((Tasas!C17-Datos!BE17)/Datos!BE17),(Tasas!C17-Datos!BE17)/Datos!BE17," - ")</f>
        <v>-0.112</v>
      </c>
      <c r="J17" s="349">
        <f>IF(ISNUMBER((Tasas!D17-Datos!BF17)/Datos!BF17),(Tasas!D17-Datos!BF17)/Datos!BF17," - ")</f>
        <v>2.083333333333333</v>
      </c>
      <c r="K17" s="351">
        <f>IF(ISNUMBER((Tasas!E17-Datos!BG17)/Datos!BG17),(Tasas!E17-Datos!BG17)/Datos!BG17," - ")</f>
        <v>-4.516129032258058E-2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-2.8571428571428571E-2</v>
      </c>
      <c r="E18" s="354">
        <f>IF(ISNUMBER(
   IF(D_I="SI",(Datos!J18-Datos!T18)/Datos!T18,(Datos!J18+Datos!AD18-(Datos!T18+Datos!AL18))/(Datos!T18+Datos!AL18))
     ),IF(D_I="SI",(Datos!J18-Datos!T18)/Datos!T18,(Datos!J18+Datos!AD18-(Datos!T18+Datos!AL18))/(Datos!T18+Datos!AL18))," - ")</f>
        <v>-3.3868092691622102E-2</v>
      </c>
      <c r="F18" s="354">
        <f>IF(ISNUMBER(
   IF(D_I="SI",(Datos!K18-Datos!U18)/Datos!U18,(Datos!K18+Datos!AE18-(Datos!U18+Datos!AM18))/(Datos!U18+Datos!AM18))
     ),IF(D_I="SI",(Datos!K18-Datos!U18)/Datos!U18,(Datos!K18+Datos!AE18-(Datos!U18+Datos!AM18))/(Datos!U18+Datos!AM18))," - ")</f>
        <v>-0.13020833333333334</v>
      </c>
      <c r="G18" s="355">
        <f>IF(ISNUMBER(
   IF(D_I="SI",(Datos!L18-Datos!V18)/Datos!V18,(Datos!L18+Datos!AF18-(Datos!V18+Datos!AN18))/(Datos!V18+Datos!AN18))
     ),IF(D_I="SI",(Datos!L18-Datos!V18)/Datos!V18,(Datos!L18+Datos!AF18-(Datos!V18+Datos!AN18))/(Datos!V18+Datos!AN18))," - ")</f>
        <v>-1.948051948051948E-2</v>
      </c>
      <c r="H18" s="356">
        <f>IF(ISNUMBER((Datos!M18-Datos!W18)/Datos!W18),(Datos!M18-Datos!W18)/Datos!W18," - ")</f>
        <v>3.6363636363636362E-2</v>
      </c>
      <c r="I18" s="357">
        <f>IF(ISNUMBER((Tasas!C18-Datos!BE18)/Datos!BE18),(Tasas!C18-Datos!BE18)/Datos!BE18," - ")</f>
        <v>0.12730383389066036</v>
      </c>
      <c r="J18" s="355">
        <f>IF(ISNUMBER((Tasas!D18-Datos!BF18)/Datos!BF18),(Tasas!D18-Datos!BF18)/Datos!BF18," - ")</f>
        <v>0.19150789330430051</v>
      </c>
      <c r="K18" s="358">
        <f>IF(ISNUMBER((Tasas!E18-Datos!BG18)/Datos!BG18),(Tasas!E18-Datos!BG18)/Datos!BG18," - ")</f>
        <v>0.11295217783610872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0.10309278350515463</v>
      </c>
      <c r="E19" s="363">
        <f>IF(ISNUMBER(
   IF(J_V="SI",(Datos!J19-Datos!T19)/Datos!T19,(Datos!J19+Datos!Z19-(Datos!T19+Datos!AH19))/(Datos!T19+Datos!AH19))
     ),IF(J_V="SI",(Datos!J19-Datos!T19)/Datos!T19,(Datos!J19+Datos!Z19-(Datos!T19+Datos!AH19))/(Datos!T19+Datos!AH19))," - ")</f>
        <v>0.16181229773462782</v>
      </c>
      <c r="F19" s="363">
        <f>IF(ISNUMBER(
   IF(J_V="SI",(Datos!K19-Datos!U19)/Datos!U19,(Datos!K19+Datos!AA19-(Datos!U19+Datos!AI19))/(Datos!U19+Datos!AI19))
     ),IF(J_V="SI",(Datos!K19-Datos!U19)/Datos!U19,(Datos!K19+Datos!AA19-(Datos!U19+Datos!AI19))/(Datos!U19+Datos!AI19))," - ")</f>
        <v>0.18848758465011287</v>
      </c>
      <c r="G19" s="364">
        <f>IF(ISNUMBER(
   IF(J_V="SI",(Datos!L19-Datos!V19)/Datos!V19,(Datos!L19+Datos!AB19-(Datos!V19+Datos!AJ19))/(Datos!V19+Datos!AJ19))
     ),IF(J_V="SI",(Datos!L19-Datos!V19)/Datos!V19,(Datos!L19+Datos!AB19-(Datos!V19+Datos!AJ19))/(Datos!V19+Datos!AJ19))," - ")</f>
        <v>1.3726835964310227E-2</v>
      </c>
      <c r="H19" s="365">
        <f>IF(ISNUMBER((Datos!M19-Datos!W19)/Datos!W19),(Datos!M19-Datos!W19)/Datos!W19," - ")</f>
        <v>0.44</v>
      </c>
      <c r="I19" s="362">
        <f>IF(ISNUMBER((Tasas!C19-Datos!BE19)/Datos!BE19),(Tasas!C19-Datos!BE19)/Datos!BE19," - ")</f>
        <v>-0.14704465653905149</v>
      </c>
      <c r="J19" s="363">
        <f>IF(ISNUMBER((Tasas!D19-Datos!BF19)/Datos!BF19),(Tasas!D19-Datos!BF19)/Datos!BF19," - ")</f>
        <v>-9.3095859562925404E-2</v>
      </c>
      <c r="K19" s="364">
        <f>IF(ISNUMBER((Tasas!E19-Datos!BG19)/Datos!BG19),(Tasas!E19-Datos!BG19)/Datos!BG19," - ")</f>
        <v>-5.180779724908096E-2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0.31699480128204038</v>
      </c>
      <c r="E21" s="278">
        <f t="shared" si="1"/>
        <v>0.52475516019852586</v>
      </c>
      <c r="F21" s="278">
        <f t="shared" si="1"/>
        <v>7.9650727874379962E-2</v>
      </c>
      <c r="G21" s="279">
        <f t="shared" si="1"/>
        <v>1.0571727670120219</v>
      </c>
      <c r="H21" s="285">
        <f t="shared" si="1"/>
        <v>0.61388811051727921</v>
      </c>
      <c r="I21" s="277">
        <f t="shared" si="1"/>
        <v>0.90891042542433431</v>
      </c>
      <c r="J21" s="278">
        <f t="shared" si="1"/>
        <v>0.92128476704975415</v>
      </c>
      <c r="K21" s="279">
        <f t="shared" si="1"/>
        <v>0.30854502630152819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1b9J/BT6GNK78Js6qHIoDMX/XhlIRnKSIRCA4xa+umpQNWySTsD1g5zu0uyHpbITckwopOG9IN9KGc5WjbuqA==" saltValue="p/Z5kxs2PM3ZYSvGP5PSi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2025-02-27T18:51:30Z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